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tabRatio="894" firstSheet="3" activeTab="9"/>
  </bookViews>
  <sheets>
    <sheet name="PL2" sheetId="1" state="hidden" r:id="rId1"/>
    <sheet name="BieunayKhongin" sheetId="2" state="hidden" r:id="rId2"/>
    <sheet name="Khongin" sheetId="3" state="hidden" r:id="rId3"/>
    <sheet name="BM1-CTTH " sheetId="4" r:id="rId4"/>
    <sheet name="BM2 -CTNN" sheetId="5" r:id="rId5"/>
    <sheet name="BM3-CTCN" sheetId="6" r:id="rId6"/>
    <sheet name="BM4-NLTTCN" sheetId="7" r:id="rId7"/>
    <sheet name="BM5-DichVu" sheetId="8" r:id="rId8"/>
    <sheet name="BM6-XNK" sheetId="9" r:id="rId9"/>
    <sheet name="BM7-GD-KHCN" sheetId="10" r:id="rId10"/>
    <sheet name="BM8-XH" sheetId="11" r:id="rId11"/>
    <sheet name="BM9-TVonDT" sheetId="12" r:id="rId12"/>
    <sheet name="BM10-DTPhanNganh" sheetId="13" r:id="rId13"/>
    <sheet name="BM11-CDNS" sheetId="14" r:id="rId14"/>
    <sheet name="BM12-DTNN" sheetId="15" r:id="rId15"/>
    <sheet name="BM13-DN" sheetId="16" r:id="rId16"/>
    <sheet name="BM14-SXDN" sheetId="17" r:id="rId17"/>
    <sheet name="BM15-QH" sheetId="18" r:id="rId18"/>
    <sheet name="BM16-HTX" sheetId="19" r:id="rId19"/>
    <sheet name="PL17CCTT(khongin)" sheetId="20" state="hidden" r:id="rId20"/>
    <sheet name="Sheet3" sheetId="21" state="hidden" r:id="rId21"/>
    <sheet name="Pl14" sheetId="22" state="hidden" r:id="rId22"/>
    <sheet name="Sheet1" sheetId="23" state="hidden" r:id="rId23"/>
    <sheet name="Sheet2" sheetId="24" state="hidden" r:id="rId24"/>
  </sheets>
  <externalReferences>
    <externalReference r:id="rId27"/>
    <externalReference r:id="rId28"/>
    <externalReference r:id="rId29"/>
    <externalReference r:id="rId30"/>
    <externalReference r:id="rId31"/>
  </externalReferences>
  <definedNames>
    <definedName name="_Fill" localSheetId="1" hidden="1">#REF!</definedName>
    <definedName name="_Fill" localSheetId="3" hidden="1">#REF!</definedName>
    <definedName name="_Fill" localSheetId="2" hidden="1">#REF!</definedName>
    <definedName name="_Fill" hidden="1">#REF!</definedName>
    <definedName name="_Key1" localSheetId="1" hidden="1">#REF!</definedName>
    <definedName name="_Key1" localSheetId="3" hidden="1">#REF!</definedName>
    <definedName name="_Key1" localSheetId="2" hidden="1">#REF!</definedName>
    <definedName name="_Key1" hidden="1">#REF!</definedName>
    <definedName name="_Key2" localSheetId="1" hidden="1">#REF!</definedName>
    <definedName name="_Key2" localSheetId="3" hidden="1">#REF!</definedName>
    <definedName name="_Key2" localSheetId="2" hidden="1">#REF!</definedName>
    <definedName name="_Key2" hidden="1">#REF!</definedName>
    <definedName name="_Order1" hidden="1">255</definedName>
    <definedName name="_Order2" hidden="1">255</definedName>
    <definedName name="_Sort" localSheetId="1" hidden="1">#REF!</definedName>
    <definedName name="_Sort" localSheetId="3" hidden="1">#REF!</definedName>
    <definedName name="_Sort" localSheetId="2" hidden="1">#REF!</definedName>
    <definedName name="_Sort" hidden="1">#REF!</definedName>
    <definedName name="CLVC3">0.1</definedName>
    <definedName name="DataFilter" localSheetId="1">[1]!DataFilter</definedName>
    <definedName name="DataFilter" localSheetId="2">[1]!DataFilter</definedName>
    <definedName name="DataFilter">[1]!DataFilter</definedName>
    <definedName name="DataSort" localSheetId="1">[1]!DataSort</definedName>
    <definedName name="DataSort" localSheetId="2">[1]!DataSort</definedName>
    <definedName name="DataSort">[1]!DataSort</definedName>
    <definedName name="GoBack" localSheetId="1">[1]!GoBack</definedName>
    <definedName name="GoBack" localSheetId="2">[1]!GoBack</definedName>
    <definedName name="GoBack">[1]!GoBack</definedName>
    <definedName name="h" localSheetId="1" hidden="1">{"'Sheet1'!$L$16"}</definedName>
    <definedName name="h" localSheetId="15" hidden="1">{"'Sheet1'!$L$16"}</definedName>
    <definedName name="h" localSheetId="16" hidden="1">{"'Sheet1'!$L$16"}</definedName>
    <definedName name="h" localSheetId="18" hidden="1">{"'Sheet1'!$L$16"}</definedName>
    <definedName name="h" localSheetId="3" hidden="1">{"'Sheet1'!$L$16"}</definedName>
    <definedName name="h" localSheetId="4" hidden="1">{"'Sheet1'!$L$16"}</definedName>
    <definedName name="h" localSheetId="9" hidden="1">{"'Sheet1'!$L$16"}</definedName>
    <definedName name="h" localSheetId="10" hidden="1">{"'Sheet1'!$L$16"}</definedName>
    <definedName name="h" localSheetId="2" hidden="1">{"'Sheet1'!$L$16"}</definedName>
    <definedName name="h" hidden="1">{"'Sheet1'!$L$16"}</definedName>
    <definedName name="Heä_soá_laép_xaø_H">1.7</definedName>
    <definedName name="HSCT3">0.1</definedName>
    <definedName name="HSDN">2.5</definedName>
    <definedName name="HTML_CodePage" hidden="1">950</definedName>
    <definedName name="HTML_Control" localSheetId="1" hidden="1">{"'Sheet1'!$L$16"}</definedName>
    <definedName name="HTML_Control" localSheetId="15" hidden="1">{"'Sheet1'!$L$16"}</definedName>
    <definedName name="HTML_Control" localSheetId="16" hidden="1">{"'Sheet1'!$L$16"}</definedName>
    <definedName name="HTML_Control" localSheetId="18" hidden="1">{"'Sheet1'!$L$16"}</definedName>
    <definedName name="HTML_Control" localSheetId="3" hidden="1">{"'Sheet1'!$L$16"}</definedName>
    <definedName name="HTML_Control" localSheetId="4" hidden="1">{"'Sheet1'!$L$16"}</definedName>
    <definedName name="HTML_Control" localSheetId="9" hidden="1">{"'Sheet1'!$L$16"}</definedName>
    <definedName name="HTML_Control" localSheetId="10" hidden="1">{"'Sheet1'!$L$16"}</definedName>
    <definedName name="HTML_Control" localSheetId="2"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1" hidden="1">{"'Sheet1'!$L$16"}</definedName>
    <definedName name="huy" localSheetId="15" hidden="1">{"'Sheet1'!$L$16"}</definedName>
    <definedName name="huy" localSheetId="16" hidden="1">{"'Sheet1'!$L$16"}</definedName>
    <definedName name="huy" localSheetId="18" hidden="1">{"'Sheet1'!$L$16"}</definedName>
    <definedName name="huy" localSheetId="3" hidden="1">{"'Sheet1'!$L$16"}</definedName>
    <definedName name="huy" localSheetId="4" hidden="1">{"'Sheet1'!$L$16"}</definedName>
    <definedName name="huy" localSheetId="9" hidden="1">{"'Sheet1'!$L$16"}</definedName>
    <definedName name="huy" localSheetId="10" hidden="1">{"'Sheet1'!$L$16"}</definedName>
    <definedName name="huy" localSheetId="2" hidden="1">{"'Sheet1'!$L$16"}</definedName>
    <definedName name="huy" hidden="1">{"'Sheet1'!$L$16"}</definedName>
    <definedName name="_xlnm.Print_Area" localSheetId="1">'BieunayKhongin'!$A$1:$O$52</definedName>
    <definedName name="_xlnm.Print_Area" localSheetId="12">'BM10-DTPhanNganh'!$A$1:$N$61</definedName>
    <definedName name="_xlnm.Print_Area" localSheetId="13">'BM11-CDNS'!$A$1:$K$25</definedName>
    <definedName name="_xlnm.Print_Area" localSheetId="14">'BM12-DTNN'!$A$1:$K$15</definedName>
    <definedName name="_xlnm.Print_Area" localSheetId="15">'BM13-DN'!$A$1:$K$14</definedName>
    <definedName name="_xlnm.Print_Area" localSheetId="16">'BM14-SXDN'!$A$1:$K$32</definedName>
    <definedName name="_xlnm.Print_Area" localSheetId="18">'BM16-HTX'!$A$1:$J$30</definedName>
    <definedName name="_xlnm.Print_Area" localSheetId="3">'BM1-CTTH '!$A$1:$L$110</definedName>
    <definedName name="_xlnm.Print_Area" localSheetId="4">'BM2 -CTNN'!$A$1:$K$23</definedName>
    <definedName name="_xlnm.Print_Area" localSheetId="5">'BM3-CTCN'!$A$1:$K$19</definedName>
    <definedName name="_xlnm.Print_Area" localSheetId="6">'BM4-NLTTCN'!$A$1:$K$18</definedName>
    <definedName name="_xlnm.Print_Area" localSheetId="7">'BM5-DichVu'!$A$1:$L$20</definedName>
    <definedName name="_xlnm.Print_Area" localSheetId="8">'BM6-XNK'!$A$1:$K$24</definedName>
    <definedName name="_xlnm.Print_Area" localSheetId="9">'BM7-GD-KHCN'!$A$1:$L$32</definedName>
    <definedName name="_xlnm.Print_Area" localSheetId="10">'BM8-XH'!$A$1:$L$35</definedName>
    <definedName name="_xlnm.Print_Area" localSheetId="11">'BM9-TVonDT'!$A$1:$L$38</definedName>
    <definedName name="_xlnm.Print_Area" localSheetId="2">'Khongin'!$A$1:$I$61</definedName>
    <definedName name="_xlnm.Print_Area" localSheetId="19">'PL17CCTT(khongin)'!$A$1:$V$39</definedName>
    <definedName name="_xlnm.Print_Titles" localSheetId="1">'BieunayKhongin'!$5:$5</definedName>
    <definedName name="_xlnm.Print_Titles" localSheetId="12">'BM10-DTPhanNganh'!$5:$5</definedName>
    <definedName name="_xlnm.Print_Titles" localSheetId="13">'BM11-CDNS'!$4:$4</definedName>
    <definedName name="_xlnm.Print_Titles" localSheetId="14">'BM12-DTNN'!$5:$5</definedName>
    <definedName name="_xlnm.Print_Titles" localSheetId="16">'BM14-SXDN'!$5:$5</definedName>
    <definedName name="_xlnm.Print_Titles" localSheetId="17">'BM15-QH'!$5:$6</definedName>
    <definedName name="_xlnm.Print_Titles" localSheetId="18">'BM16-HTX'!$5:$6</definedName>
    <definedName name="_xlnm.Print_Titles" localSheetId="3">'BM1-CTTH '!$4:$4</definedName>
    <definedName name="_xlnm.Print_Titles" localSheetId="4">'BM2 -CTNN'!$5:$5</definedName>
    <definedName name="_xlnm.Print_Titles" localSheetId="5">'BM3-CTCN'!$5:$5</definedName>
    <definedName name="_xlnm.Print_Titles" localSheetId="7">'BM5-DichVu'!$5:$5</definedName>
    <definedName name="_xlnm.Print_Titles" localSheetId="8">'BM6-XNK'!$5:$5</definedName>
    <definedName name="_xlnm.Print_Titles" localSheetId="9">'BM7-GD-KHCN'!$5:$5</definedName>
    <definedName name="_xlnm.Print_Titles" localSheetId="10">'BM8-XH'!$5:$5</definedName>
    <definedName name="_xlnm.Print_Titles" localSheetId="11">'BM9-TVonDT'!$5:$5</definedName>
    <definedName name="_xlnm.Print_Titles" localSheetId="2">'Khongin'!$5:$5</definedName>
    <definedName name="_xlnm.Print_Titles" localSheetId="21">'Pl14'!$4:$5</definedName>
    <definedName name="_xlnm.Print_Titles" localSheetId="19">'PL17CCTT(khongin)'!$5:$5</definedName>
    <definedName name="_xlnm.Print_Titles" localSheetId="0">'PL2'!$4:$5</definedName>
    <definedName name="TaxTV">10%</definedName>
    <definedName name="TaxXL">5%</definedName>
    <definedName name="wrn.chi._.tiÆt." localSheetId="15" hidden="1">{#N/A,#N/A,FALSE,"Chi ti?t"}</definedName>
    <definedName name="wrn.chi._.tiÆt." localSheetId="16" hidden="1">{#N/A,#N/A,FALSE,"Chi ti?t"}</definedName>
    <definedName name="wrn.chi._.tiÆt." localSheetId="18" hidden="1">{#N/A,#N/A,FALSE,"Chi ti?t"}</definedName>
    <definedName name="wrn.chi._.tiÆt." localSheetId="3" hidden="1">{#N/A,#N/A,FALSE,"Chi ti?t"}</definedName>
    <definedName name="wrn.chi._.tiÆt." localSheetId="4" hidden="1">{#N/A,#N/A,FALSE,"Chi ti?t"}</definedName>
    <definedName name="wrn.chi._.tiÆt." localSheetId="9" hidden="1">{#N/A,#N/A,FALSE,"Chi ti?t"}</definedName>
    <definedName name="wrn.chi._.tiÆt." localSheetId="10" hidden="1">{#N/A,#N/A,FALSE,"Chi ti?t"}</definedName>
    <definedName name="wrn.chi._.tiÆt." localSheetId="2" hidden="1">{#N/A,#N/A,FALSE,"Chi ti?t"}</definedName>
    <definedName name="wrn.chi._.tiÆt." hidden="1">{#N/A,#N/A,FALSE,"Chi ti?t"}</definedName>
    <definedName name="XCCT">0.5</definedName>
  </definedNames>
  <calcPr fullCalcOnLoad="1"/>
</workbook>
</file>

<file path=xl/comments1.xml><?xml version="1.0" encoding="utf-8"?>
<comments xmlns="http://schemas.openxmlformats.org/spreadsheetml/2006/main">
  <authors>
    <author>User</author>
  </authors>
  <commentList>
    <comment ref="D11" authorId="0">
      <text>
        <r>
          <rPr>
            <b/>
            <sz val="8"/>
            <rFont val="Tahoma"/>
            <family val="2"/>
          </rPr>
          <t>User:</t>
        </r>
        <r>
          <rPr>
            <sz val="8"/>
            <rFont val="Tahoma"/>
            <family val="2"/>
          </rPr>
          <t xml:space="preserve">
bang ke hoach ban dau la 9,5-10,2 nhung trong van kien la tu 10-10,2% o trang 26</t>
        </r>
      </text>
    </comment>
    <comment ref="F18" authorId="0">
      <text>
        <r>
          <rPr>
            <b/>
            <sz val="8"/>
            <rFont val="Tahoma"/>
            <family val="2"/>
          </rPr>
          <t>User:</t>
        </r>
        <r>
          <rPr>
            <sz val="8"/>
            <rFont val="Tahoma"/>
            <family val="2"/>
          </rPr>
          <t xml:space="preserve">
Số cũ là 41,5</t>
        </r>
      </text>
    </comment>
    <comment ref="H29" authorId="0">
      <text>
        <r>
          <rPr>
            <b/>
            <sz val="8"/>
            <rFont val="Tahoma"/>
            <family val="2"/>
          </rPr>
          <t>User:</t>
        </r>
        <r>
          <rPr>
            <sz val="8"/>
            <rFont val="Tahoma"/>
            <family val="2"/>
          </rPr>
          <t xml:space="preserve">
số cũ là 71,7 còn số &gt;71,5 là số mới nhất của BỘ Y tế ngày 19/9</t>
        </r>
      </text>
    </comment>
    <comment ref="D31" authorId="0">
      <text>
        <r>
          <rPr>
            <b/>
            <sz val="8"/>
            <rFont val="Tahoma"/>
            <family val="2"/>
          </rPr>
          <t>User:</t>
        </r>
        <r>
          <rPr>
            <sz val="8"/>
            <rFont val="Tahoma"/>
            <family val="2"/>
          </rPr>
          <t xml:space="preserve">
theo ke hoach 5 năm của Quốc hội là 14,7 nhưng trong văn kiện đại hội đảng là tốc độ tăng trung học chuyên nghiệp là 15%</t>
        </r>
      </text>
    </comment>
    <comment ref="H32" authorId="0">
      <text>
        <r>
          <rPr>
            <b/>
            <sz val="8"/>
            <rFont val="Tahoma"/>
            <family val="2"/>
          </rPr>
          <t>User:</t>
        </r>
        <r>
          <rPr>
            <sz val="8"/>
            <rFont val="Tahoma"/>
            <family val="2"/>
          </rPr>
          <t xml:space="preserve">
số cũ là 15,5 còn số 16 là số mới nhất của Bộ Y tế
</t>
        </r>
      </text>
    </comment>
    <comment ref="H34" authorId="0">
      <text>
        <r>
          <rPr>
            <b/>
            <sz val="8"/>
            <rFont val="Tahoma"/>
            <family val="2"/>
          </rPr>
          <t>User:</t>
        </r>
        <r>
          <rPr>
            <sz val="8"/>
            <rFont val="Tahoma"/>
            <family val="2"/>
          </rPr>
          <t xml:space="preserve">
số cũ là 75
số mới là 80 theo của Bộ Y Tế</t>
        </r>
      </text>
    </comment>
    <comment ref="H35" authorId="0">
      <text>
        <r>
          <rPr>
            <b/>
            <sz val="8"/>
            <rFont val="Tahoma"/>
            <family val="2"/>
          </rPr>
          <t>User:</t>
        </r>
        <r>
          <rPr>
            <sz val="8"/>
            <rFont val="Tahoma"/>
            <family val="2"/>
          </rPr>
          <t xml:space="preserve">
số cũ là 6,3
Số mới là 6,03 của Bộ Y Tế</t>
        </r>
      </text>
    </comment>
    <comment ref="F40" authorId="0">
      <text>
        <r>
          <rPr>
            <b/>
            <sz val="8"/>
            <rFont val="Tahoma"/>
            <family val="2"/>
          </rPr>
          <t>User:</t>
        </r>
        <r>
          <rPr>
            <sz val="8"/>
            <rFont val="Tahoma"/>
            <family val="2"/>
          </rPr>
          <t xml:space="preserve">
theo van ban chinh thuc cua Bo Nong nghiep phat trien nong thon</t>
        </r>
      </text>
    </comment>
  </commentList>
</comments>
</file>

<file path=xl/comments10.xml><?xml version="1.0" encoding="utf-8"?>
<comments xmlns="http://schemas.openxmlformats.org/spreadsheetml/2006/main">
  <authors>
    <author>SONGNGOC</author>
  </authors>
  <commentList>
    <comment ref="M8" authorId="0">
      <text>
        <r>
          <rPr>
            <b/>
            <sz val="9"/>
            <rFont val="Tahoma"/>
            <family val="2"/>
          </rPr>
          <t>SONGNGOC:</t>
        </r>
        <r>
          <rPr>
            <sz val="9"/>
            <rFont val="Tahoma"/>
            <family val="2"/>
          </rPr>
          <t xml:space="preserve">
lấu theo KH 5 năm 2011-2015
</t>
        </r>
      </text>
    </comment>
    <comment ref="M10" authorId="0">
      <text>
        <r>
          <rPr>
            <b/>
            <sz val="9"/>
            <rFont val="Tahoma"/>
            <family val="2"/>
          </rPr>
          <t>SONGNGOC:</t>
        </r>
        <r>
          <rPr>
            <sz val="9"/>
            <rFont val="Tahoma"/>
            <family val="2"/>
          </rPr>
          <t xml:space="preserve">
lấu theo KH 5 năm 2011-2015
</t>
        </r>
      </text>
    </comment>
    <comment ref="M12" authorId="0">
      <text>
        <r>
          <rPr>
            <b/>
            <sz val="9"/>
            <rFont val="Tahoma"/>
            <family val="2"/>
          </rPr>
          <t>SONGNGOC:</t>
        </r>
        <r>
          <rPr>
            <sz val="9"/>
            <rFont val="Tahoma"/>
            <family val="2"/>
          </rPr>
          <t xml:space="preserve">
lấu theo KH 5 năm 2011-2015
</t>
        </r>
      </text>
    </comment>
    <comment ref="M14" authorId="0">
      <text>
        <r>
          <rPr>
            <b/>
            <sz val="9"/>
            <rFont val="Tahoma"/>
            <family val="2"/>
          </rPr>
          <t>SONGNGOC:</t>
        </r>
        <r>
          <rPr>
            <sz val="9"/>
            <rFont val="Tahoma"/>
            <family val="2"/>
          </rPr>
          <t xml:space="preserve">
lấu theo KH 5 năm 2011-2015
</t>
        </r>
      </text>
    </comment>
    <comment ref="D17" authorId="0">
      <text>
        <r>
          <rPr>
            <b/>
            <sz val="9"/>
            <rFont val="Tahoma"/>
            <family val="2"/>
          </rPr>
          <t>SONGNGOC:</t>
        </r>
        <r>
          <rPr>
            <sz val="9"/>
            <rFont val="Tahoma"/>
            <family val="2"/>
          </rPr>
          <t xml:space="preserve">
</t>
        </r>
        <r>
          <rPr>
            <sz val="12"/>
            <rFont val="Tahoma"/>
            <family val="2"/>
          </rPr>
          <t xml:space="preserve">láy theo tổng KH từng năm cộng lại (do KH 5 năm 2011-2015 giao chi tieu tong so quy mo học sinh) </t>
        </r>
      </text>
    </comment>
    <comment ref="D20" authorId="0">
      <text>
        <r>
          <rPr>
            <b/>
            <sz val="9"/>
            <rFont val="Tahoma"/>
            <family val="2"/>
          </rPr>
          <t>SONGNGOC:</t>
        </r>
        <r>
          <rPr>
            <sz val="9"/>
            <rFont val="Tahoma"/>
            <family val="2"/>
          </rPr>
          <t xml:space="preserve">
láy theo tổng KH từng năm cộng lại (do KH 5 năm 2011-2015 giao chi tieu tong so quy mo học sinh)</t>
        </r>
      </text>
    </comment>
  </commentList>
</comments>
</file>

<file path=xl/comments14.xml><?xml version="1.0" encoding="utf-8"?>
<comments xmlns="http://schemas.openxmlformats.org/spreadsheetml/2006/main">
  <authors>
    <author>User</author>
  </authors>
  <commentList>
    <comment ref="I13" authorId="0">
      <text>
        <r>
          <rPr>
            <b/>
            <sz val="8"/>
            <rFont val="Tahoma"/>
            <family val="2"/>
          </rPr>
          <t>User:</t>
        </r>
        <r>
          <rPr>
            <sz val="8"/>
            <rFont val="Tahoma"/>
            <family val="2"/>
          </rPr>
          <t xml:space="preserve">
số đến tháng 10 năm 2015</t>
        </r>
      </text>
    </comment>
  </commentList>
</comments>
</file>

<file path=xl/comments20.xml><?xml version="1.0" encoding="utf-8"?>
<comments xmlns="http://schemas.openxmlformats.org/spreadsheetml/2006/main">
  <authors>
    <author>10-Chu Van An </author>
  </authors>
  <commentList>
    <comment ref="J61" authorId="0">
      <text>
        <r>
          <rPr>
            <b/>
            <sz val="10"/>
            <rFont val="Tahoma"/>
            <family val="2"/>
          </rPr>
          <t>10-Chu Van An :</t>
        </r>
        <r>
          <rPr>
            <sz val="10"/>
            <rFont val="Tahoma"/>
            <family val="2"/>
          </rPr>
          <t xml:space="preserve">
NHNN dự kien vay tra no trung han 0,8-2 tỷ USD; vay nợ ngắn hạn ròng: 0,2-0,8 tỷ USD; FII: 0,2-1,2 tỷ USD; Tiền và tiền gửi, tài sản có khác thâm hụt 1,5-3,6 tỷ USD
</t>
        </r>
      </text>
    </comment>
    <comment ref="J27" authorId="0">
      <text>
        <r>
          <rPr>
            <b/>
            <sz val="10"/>
            <rFont val="Tahoma"/>
            <family val="2"/>
          </rPr>
          <t>10-Chu Van An :</t>
        </r>
        <r>
          <rPr>
            <sz val="10"/>
            <rFont val="Tahoma"/>
            <family val="2"/>
          </rPr>
          <t xml:space="preserve">
NHNN dự kien vay tra no trung han 0,8-2 tỷ USD; vay nợ ngắn hạn ròng: 0,2-0,8 tỷ USD; FII: 0,2-1,2 tỷ USD; Tiền và tiền gửi, tài sản có khác thâm hụt 1,5-3,6 tỷ USD
</t>
        </r>
      </text>
    </comment>
  </commentList>
</comments>
</file>

<file path=xl/comments22.xml><?xml version="1.0" encoding="utf-8"?>
<comments xmlns="http://schemas.openxmlformats.org/spreadsheetml/2006/main">
  <authors>
    <author>User</author>
  </authors>
  <commentList>
    <comment ref="H7" authorId="0">
      <text>
        <r>
          <rPr>
            <b/>
            <sz val="8"/>
            <rFont val="Tahoma"/>
            <family val="2"/>
          </rPr>
          <t>User:</t>
        </r>
        <r>
          <rPr>
            <sz val="8"/>
            <rFont val="Tahoma"/>
            <family val="2"/>
          </rPr>
          <t xml:space="preserve">
Đã sửa theo đánh giá lại của thống kê
Số trước khi sửa là 1569,845</t>
        </r>
      </text>
    </comment>
    <comment ref="H8" authorId="0">
      <text>
        <r>
          <rPr>
            <b/>
            <sz val="8"/>
            <rFont val="Tahoma"/>
            <family val="2"/>
          </rPr>
          <t>User:</t>
        </r>
        <r>
          <rPr>
            <sz val="8"/>
            <rFont val="Tahoma"/>
            <family val="2"/>
          </rPr>
          <t xml:space="preserve">
uớc tại kỳ họp 4 khóa 12 là 18
</t>
        </r>
      </text>
    </comment>
    <comment ref="H22" authorId="0">
      <text>
        <r>
          <rPr>
            <b/>
            <sz val="8"/>
            <rFont val="Tahoma"/>
            <family val="2"/>
          </rPr>
          <t>User:</t>
        </r>
        <r>
          <rPr>
            <sz val="8"/>
            <rFont val="Tahoma"/>
            <family val="2"/>
          </rPr>
          <t xml:space="preserve">
ước tại kỳ họp 4 khóa 12 là 1366,693</t>
        </r>
      </text>
    </comment>
    <comment ref="H23" authorId="0">
      <text>
        <r>
          <rPr>
            <b/>
            <sz val="8"/>
            <rFont val="Tahoma"/>
            <family val="2"/>
          </rPr>
          <t>User:</t>
        </r>
        <r>
          <rPr>
            <sz val="8"/>
            <rFont val="Tahoma"/>
            <family val="2"/>
          </rPr>
          <t xml:space="preserve">
ước là 28
</t>
        </r>
      </text>
    </comment>
  </commentList>
</comments>
</file>

<file path=xl/comments4.xml><?xml version="1.0" encoding="utf-8"?>
<comments xmlns="http://schemas.openxmlformats.org/spreadsheetml/2006/main">
  <authors>
    <author>Bùi Văn Thường</author>
  </authors>
  <commentList>
    <comment ref="B20" authorId="0">
      <text>
        <r>
          <rPr>
            <sz val="9"/>
            <rFont val="Tahoma"/>
            <family val="2"/>
          </rPr>
          <t xml:space="preserve">Tính theo phương pháp cơ bản </t>
        </r>
      </text>
    </comment>
    <comment ref="B47" authorId="0">
      <text>
        <r>
          <rPr>
            <sz val="9"/>
            <rFont val="Tahoma"/>
            <family val="2"/>
          </rPr>
          <t xml:space="preserve">Tính theo phương pháp giá cơ bản
</t>
        </r>
      </text>
    </comment>
    <comment ref="K7" authorId="0">
      <text>
        <r>
          <rPr>
            <b/>
            <sz val="9"/>
            <rFont val="Tahoma"/>
            <family val="2"/>
          </rPr>
          <t>Bùi Văn Thường:</t>
        </r>
        <r>
          <rPr>
            <sz val="9"/>
            <rFont val="Tahoma"/>
            <family val="2"/>
          </rPr>
          <t xml:space="preserve">
Tốc độ bình quân tính theo tốc độ phát triển
</t>
        </r>
      </text>
    </comment>
  </commentList>
</comments>
</file>

<file path=xl/comments9.xml><?xml version="1.0" encoding="utf-8"?>
<comments xmlns="http://schemas.openxmlformats.org/spreadsheetml/2006/main">
  <authors>
    <author>ThangCN</author>
  </authors>
  <commentList>
    <comment ref="H10" authorId="0">
      <text>
        <r>
          <rPr>
            <sz val="9"/>
            <rFont val="Tahoma"/>
            <family val="2"/>
          </rPr>
          <t>Rà soát theo tham gia của sở công thương</t>
        </r>
      </text>
    </comment>
  </commentList>
</comments>
</file>

<file path=xl/sharedStrings.xml><?xml version="1.0" encoding="utf-8"?>
<sst xmlns="http://schemas.openxmlformats.org/spreadsheetml/2006/main" count="1824" uniqueCount="811">
  <si>
    <t>STT</t>
  </si>
  <si>
    <t>ChØ tiªu</t>
  </si>
  <si>
    <t>§¬n vÞ
tÝnh</t>
  </si>
  <si>
    <t>A</t>
  </si>
  <si>
    <t>T¨ng tr­ëng GDP</t>
  </si>
  <si>
    <t>%</t>
  </si>
  <si>
    <t>Trong ®ã:</t>
  </si>
  <si>
    <t xml:space="preserve"> - Tæng GDP theo VN§</t>
  </si>
  <si>
    <t xml:space="preserve"> - Tæng GDP qui USD </t>
  </si>
  <si>
    <t xml:space="preserve"> - GDP b×nh qu©n ®Çu ng­êi</t>
  </si>
  <si>
    <t>USD</t>
  </si>
  <si>
    <t>B</t>
  </si>
  <si>
    <t>10-11</t>
  </si>
  <si>
    <t>1/100.000</t>
  </si>
  <si>
    <t>%o</t>
  </si>
  <si>
    <t>C</t>
  </si>
  <si>
    <t>Ngh×n tû ®ång</t>
  </si>
  <si>
    <t>Tèc ®é t¨ng</t>
  </si>
  <si>
    <t>D</t>
  </si>
  <si>
    <t>Tên chỉ tiêu</t>
  </si>
  <si>
    <t>Đơn vị</t>
  </si>
  <si>
    <t>Mục tiêu KH 2006-2010</t>
  </si>
  <si>
    <t>TH năm 2006</t>
  </si>
  <si>
    <t>TH năm 2007</t>
  </si>
  <si>
    <t>Ước TH năm 2008</t>
  </si>
  <si>
    <t>Khả năng đạt mục tiêu KH 5 năm</t>
  </si>
  <si>
    <t>I.</t>
  </si>
  <si>
    <t>VỀ KINH TẾ</t>
  </si>
  <si>
    <t>Tốc độ tăng tổng sản phẩm trong nước (GDP)</t>
  </si>
  <si>
    <t>7,5-8%/năm, phấn đấu đạt &gt;8%</t>
  </si>
  <si>
    <t>Phấn đấu đạt</t>
  </si>
  <si>
    <t>GDP giá so sánh (năm 2000 là 273.666)</t>
  </si>
  <si>
    <t>tỷ đồng</t>
  </si>
  <si>
    <t>gấp 2,1 lần so với 2000</t>
  </si>
  <si>
    <t>491.258-493.603</t>
  </si>
  <si>
    <t>GDP bình quân đầu người</t>
  </si>
  <si>
    <t>Đạt</t>
  </si>
  <si>
    <t>Giá trị tăng thêm của NLNN</t>
  </si>
  <si>
    <t>Giá trị tăng thêm của CN-XD</t>
  </si>
  <si>
    <t>Giá trị tăng thêm của Dịch vụ</t>
  </si>
  <si>
    <t>Cơ cấu GDP</t>
  </si>
  <si>
    <t>- Nông lâm nghiệp và thủy sản</t>
  </si>
  <si>
    <t>Không đạt</t>
  </si>
  <si>
    <t>- Công nghiệp và xây dựng</t>
  </si>
  <si>
    <t>- Dịch vụ</t>
  </si>
  <si>
    <t>Tốc độ tăng kim ngạch xuất khẩu hàng hóa</t>
  </si>
  <si>
    <t>16</t>
  </si>
  <si>
    <t>Vốn đầu tư phát triển toàn xã hội so với GDP</t>
  </si>
  <si>
    <t>40</t>
  </si>
  <si>
    <t>Tỷ lệ huy động GDP hàng năm vào NSNN</t>
  </si>
  <si>
    <t>21-22</t>
  </si>
  <si>
    <t>II.</t>
  </si>
  <si>
    <t>VỀ XÃ HỘI</t>
  </si>
  <si>
    <t>Số địa phương đạt chuẩn chương trình phổ cập giáo dục trung học cơ sở</t>
  </si>
  <si>
    <t>Tỉnh</t>
  </si>
  <si>
    <t>64 (Hiện nay là 63)</t>
  </si>
  <si>
    <t>Sinh viên ĐH, cao đẳng/vạn dân</t>
  </si>
  <si>
    <t>SV</t>
  </si>
  <si>
    <t>200</t>
  </si>
  <si>
    <t>180</t>
  </si>
  <si>
    <t>188</t>
  </si>
  <si>
    <t>Tỷ lệ lao động qua đào tạo</t>
  </si>
  <si>
    <t>30,5</t>
  </si>
  <si>
    <t>37</t>
  </si>
  <si>
    <t>Tốc độ phát triển dân số</t>
  </si>
  <si>
    <t>Tạo việc làm</t>
  </si>
  <si>
    <t>Triệu LĐ</t>
  </si>
  <si>
    <t>Tỷ lệ thất nghiệp thành thị</t>
  </si>
  <si>
    <t>Tỷ trọng lao động nông lâm ngư nghiệp trong tổng lao động (năm 2005 là 58%)</t>
  </si>
  <si>
    <t>Tuổi thọ trung bình</t>
  </si>
  <si>
    <t>Tuổi</t>
  </si>
  <si>
    <t>72</t>
  </si>
  <si>
    <t>71,5</t>
  </si>
  <si>
    <t>Tốc độ tăng tuyển mới trung cấp chuyên nghiệp</t>
  </si>
  <si>
    <t>13,4</t>
  </si>
  <si>
    <t>Tăng tuyển mới cao đẳng nghề và trung cấp nghề</t>
  </si>
  <si>
    <t>17,0</t>
  </si>
  <si>
    <t>Tỷ lệ tử vong trẻ em dưới 1 tuổi</t>
  </si>
  <si>
    <t>Vượt</t>
  </si>
  <si>
    <t>Tỷ lệ trẻ em dưới 5 tuổi bị suy dinh dưỡng</t>
  </si>
  <si>
    <t>Tỷ lệ tử vong bà mẹ liên quan đến thai sản/100.000 trẻ đẻ sống</t>
  </si>
  <si>
    <t>Bác sĩ/vạn dân</t>
  </si>
  <si>
    <t>bác sĩ</t>
  </si>
  <si>
    <t>Tỷ lệ hộ nghèo (Năm 2005 là 22%)</t>
  </si>
  <si>
    <t>Điện thoại/100 dân</t>
  </si>
  <si>
    <t>máy</t>
  </si>
  <si>
    <t>Internet/100 dân</t>
  </si>
  <si>
    <t>thuê bao</t>
  </si>
  <si>
    <t>III.</t>
  </si>
  <si>
    <t>VỀ MÔI TRƯỜNG</t>
  </si>
  <si>
    <t>Tỷ lệ che phủ rừng</t>
  </si>
  <si>
    <t>Tỷ lệ dân số nông thôn được sử dụng nước hợp vệ sinh</t>
  </si>
  <si>
    <t>Tỷ lệ dân số đô thị được sử dụng nước sạch</t>
  </si>
  <si>
    <t>Thùc hiÖn 2005</t>
  </si>
  <si>
    <t>Ghi chó</t>
  </si>
  <si>
    <t>Dự kiến 2 năm 2009-2010</t>
  </si>
  <si>
    <t>Gấp 1,8 lần</t>
  </si>
  <si>
    <t>Gấp 1,9 lần</t>
  </si>
  <si>
    <t>Thực hiện 2005</t>
  </si>
  <si>
    <t>&lt;18</t>
  </si>
  <si>
    <t xml:space="preserve">CHỈ TIÊU 2 NĂM CÒN LẠI 2009-2010 THEO VĂN KIỆN ĐẠI HỘI ĐẢNG X </t>
  </si>
  <si>
    <t>I</t>
  </si>
  <si>
    <t>II</t>
  </si>
  <si>
    <t>8 (5 năm)</t>
  </si>
  <si>
    <t>58-60</t>
  </si>
  <si>
    <t>Phô lôc 13</t>
  </si>
  <si>
    <t>Nguån vèn huy ®éng</t>
  </si>
  <si>
    <t>- TiÒn göi b»ng VN§</t>
  </si>
  <si>
    <t>- TiÒn göi b»ng ngo¹i tÖ</t>
  </si>
  <si>
    <t>- Tû lÖ tiÒn mÆt ngoµi hÖ thèng ng©n hµng/M2</t>
  </si>
  <si>
    <t>Tæng d­ nî cho vay nÒn kinh tÕ</t>
  </si>
  <si>
    <t>- Cho vay b»ng VN§</t>
  </si>
  <si>
    <t>- Cho vay ngo¹i tÖ</t>
  </si>
  <si>
    <t>GDP</t>
  </si>
  <si>
    <t>- Tû lÖ tiÒn göi/GDP</t>
  </si>
  <si>
    <t>III</t>
  </si>
  <si>
    <t>IV</t>
  </si>
  <si>
    <t>Tæng ph­¬ng tiÖn thanh to¸n/GDP</t>
  </si>
  <si>
    <t>TiÒn mÆt l­u th«ng ngoµi hÖ thèng ng©n hµng</t>
  </si>
  <si>
    <t>Tæng ph­¬ng tiÖn thanh to¸n (M2)</t>
  </si>
  <si>
    <t>+ Tèc ®é t¨ng</t>
  </si>
  <si>
    <t>+Tû lÖ cho vay b»ng VN§/tæng d­ nî</t>
  </si>
  <si>
    <t>+ Tû lÖ cho vay b»ng ngo¹i tÖ/tæng d­ nî</t>
  </si>
  <si>
    <t>- Tèc ®é t¨ng</t>
  </si>
  <si>
    <t>Bình quân/ Thực hiện 3 năm 2006-2008</t>
  </si>
  <si>
    <t>&lt;4,5</t>
  </si>
  <si>
    <t>Khó đạt</t>
  </si>
  <si>
    <t>Gấp 2,0 lần</t>
  </si>
  <si>
    <r>
      <t>25,0</t>
    </r>
    <r>
      <rPr>
        <vertAlign val="superscript"/>
        <sz val="12"/>
        <rFont val="Times New Roman"/>
        <family val="1"/>
      </rPr>
      <t>(1)</t>
    </r>
  </si>
  <si>
    <r>
      <t>(1)</t>
    </r>
    <r>
      <rPr>
        <sz val="12"/>
        <rFont val="Times New Roman"/>
        <family val="1"/>
      </rPr>
      <t xml:space="preserve"> Bình quân năm 2007-2008. Năm 2006 chưa có chỉ tiêu cao đẳng nghề và trung cấp nghề.</t>
    </r>
  </si>
  <si>
    <t>Phụ lục 2</t>
  </si>
  <si>
    <t>Môc tiªu KH 2011-2015</t>
  </si>
  <si>
    <t>tiÒn tÖ - tÝn dông 2011-2015</t>
  </si>
  <si>
    <t xml:space="preserve"> CÁN CÂN THANH TOÁN QUỐC TẾ </t>
  </si>
  <si>
    <t>Đơn vị: triệu USD</t>
  </si>
  <si>
    <t>Mục tiêu kế hoạch 5 năm 2011-2015</t>
  </si>
  <si>
    <t>Thực hiện 
2007</t>
  </si>
  <si>
    <t>Thực hiện
2008</t>
  </si>
  <si>
    <t>Kế hoạch
2009</t>
  </si>
  <si>
    <t>Ước thực hiện
2009</t>
  </si>
  <si>
    <t>KH 2010</t>
  </si>
  <si>
    <t>KH 2012</t>
  </si>
  <si>
    <t>KH 2013</t>
  </si>
  <si>
    <t>KH 2014</t>
  </si>
  <si>
    <t>KH 2015</t>
  </si>
  <si>
    <t>Cán cân thương mại</t>
  </si>
  <si>
    <t>Xuất khẩu</t>
  </si>
  <si>
    <t>Nhập khẩu</t>
  </si>
  <si>
    <t>Nhập khẩu (giá CIF)</t>
  </si>
  <si>
    <t>Dịch vụ</t>
  </si>
  <si>
    <t>Thu</t>
  </si>
  <si>
    <t>Chi</t>
  </si>
  <si>
    <t>Thu nhập đầu tư</t>
  </si>
  <si>
    <t>Chuyển tiền</t>
  </si>
  <si>
    <t>Nhà nước</t>
  </si>
  <si>
    <t>Tư nhân</t>
  </si>
  <si>
    <t>Cán cân vãng lai</t>
  </si>
  <si>
    <t>Cán cân vốn</t>
  </si>
  <si>
    <t>Đầu tư trực tiếp nước ngoài</t>
  </si>
  <si>
    <t>Vay trả nợ trung dài hạn</t>
  </si>
  <si>
    <t>Vay</t>
  </si>
  <si>
    <t>Trả đến hạn</t>
  </si>
  <si>
    <t>Vay ngắn hạn</t>
  </si>
  <si>
    <t>Đầu tư vào giấy tờ có giá</t>
  </si>
  <si>
    <t>Tiền và tiền gửi</t>
  </si>
  <si>
    <t>Lỗi - sai số</t>
  </si>
  <si>
    <t>Cán cân tổng thể</t>
  </si>
  <si>
    <t>Chi số giá</t>
  </si>
  <si>
    <t>PA1</t>
  </si>
  <si>
    <t>PA2</t>
  </si>
  <si>
    <t>TB</t>
  </si>
  <si>
    <t>Tỷ giá</t>
  </si>
  <si>
    <t>Dân số</t>
  </si>
  <si>
    <t>Tổng 5 năm</t>
  </si>
  <si>
    <t>Nguồn</t>
  </si>
  <si>
    <t>KN nhập khẩu</t>
  </si>
  <si>
    <t>Nhập khẩu (giá FOB)</t>
  </si>
  <si>
    <t>Sử dụng</t>
  </si>
  <si>
    <t>Tiêu dùng cuối cùng</t>
  </si>
  <si>
    <t>Tổng tích lũy tài sản</t>
  </si>
  <si>
    <t>Tiết kiệm</t>
  </si>
  <si>
    <t>KNXK</t>
  </si>
  <si>
    <t>XK (giá FOB)</t>
  </si>
  <si>
    <t>Chênh lệch XNK HH và DV</t>
  </si>
  <si>
    <t>Đơn vị tính</t>
  </si>
  <si>
    <t>Ng.tỷ Đ</t>
  </si>
  <si>
    <t>Tỷ USD</t>
  </si>
  <si>
    <t>Ng.Đ</t>
  </si>
  <si>
    <t>Cơ cấu</t>
  </si>
  <si>
    <t>Cơ cấu Tích lũy - tiêu dùng</t>
  </si>
  <si>
    <t>Tiêu dùng</t>
  </si>
  <si>
    <t>TÍch lũy</t>
  </si>
  <si>
    <t>Tiêu dùng/GDP</t>
  </si>
  <si>
    <t>TÍch lũy/GDP</t>
  </si>
  <si>
    <t>Tiết kiệm/GDP</t>
  </si>
  <si>
    <t>NN</t>
  </si>
  <si>
    <t>CN</t>
  </si>
  <si>
    <t>DV</t>
  </si>
  <si>
    <t>NN 1</t>
  </si>
  <si>
    <t>CN 1</t>
  </si>
  <si>
    <t>FII</t>
  </si>
  <si>
    <t>GDP thuc te 1</t>
  </si>
  <si>
    <t>GDP thuc te 2</t>
  </si>
  <si>
    <t>NN 2</t>
  </si>
  <si>
    <t>CN 2</t>
  </si>
  <si>
    <t>DV1</t>
  </si>
  <si>
    <t>DV2</t>
  </si>
  <si>
    <t>Lao dong</t>
  </si>
  <si>
    <t>2015-1</t>
  </si>
  <si>
    <t>2015-2</t>
  </si>
  <si>
    <t>trieu ld</t>
  </si>
  <si>
    <t>Nang suat lao dong</t>
  </si>
  <si>
    <t>Tong 1</t>
  </si>
  <si>
    <t>¦íc thùc hiÖn 2011</t>
  </si>
  <si>
    <t>Trong đó:</t>
  </si>
  <si>
    <t>TỔNG SỐ</t>
  </si>
  <si>
    <t>Nông nghiệp</t>
  </si>
  <si>
    <t>Tỷ trọng so với tổng số (%)</t>
  </si>
  <si>
    <t>Công nghiệp và xây dựng</t>
  </si>
  <si>
    <t>Trong đó</t>
  </si>
  <si>
    <t>Khai khoáng</t>
  </si>
  <si>
    <t>Công nghiệp chế biến và chế tạo</t>
  </si>
  <si>
    <t>Sản xuất và phân phối điện, khí đốt, nước nóng, hơi nước và điều hòa không khí</t>
  </si>
  <si>
    <t>Cung cấp nước; hoạt động quản lý và xử lý nước thải</t>
  </si>
  <si>
    <t>Xây dựng</t>
  </si>
  <si>
    <t>Bán buôn và bán lẻ; sửa chữa ô tô, mô tô và xe máy và xe có động cơ khác</t>
  </si>
  <si>
    <t>Vận tải; kho bãi</t>
  </si>
  <si>
    <t>Dịch vụ lưu trú và ăn uống</t>
  </si>
  <si>
    <t>Thông tin và truyền thông</t>
  </si>
  <si>
    <t>Hoạt động tài chính, ngân hàng và  bảo hiểm</t>
  </si>
  <si>
    <t>Hoạt động kinh doanh bất động sản</t>
  </si>
  <si>
    <t>Hoạt động chuyên môn và khoa học công nghệ</t>
  </si>
  <si>
    <t>Hoạt động hành chính và dịch vụ hỗ trợ</t>
  </si>
  <si>
    <t>Hoạt động của Đảng cộng sản, tổ chức chính trị - xã hội; quản lý Nhà nước, an ninh quốc phòng; đảm bảo xã hội bắt buộc</t>
  </si>
  <si>
    <t>Giáo dục và đào tạo</t>
  </si>
  <si>
    <t xml:space="preserve">Y tế và hoạt động trợ giúp xã hội </t>
  </si>
  <si>
    <t>Nghệ thuật, vui chơi và giải trí</t>
  </si>
  <si>
    <t>Hoạt động khác</t>
  </si>
  <si>
    <t>Hoàn trả tạm ứng theo Quyết định 910/QĐ-TTg (phần địa phương)</t>
  </si>
  <si>
    <t>VI</t>
  </si>
  <si>
    <t>Các khoản chưa phân bổ cụ thể</t>
  </si>
  <si>
    <t>Chuẩn bị đầu tư</t>
  </si>
  <si>
    <t>An ninh</t>
  </si>
  <si>
    <t>Quốc phòng</t>
  </si>
  <si>
    <t>Quản lý nhà nước</t>
  </si>
  <si>
    <t>Thông tin</t>
  </si>
  <si>
    <t>Thể thao</t>
  </si>
  <si>
    <t>Văn hóa</t>
  </si>
  <si>
    <t>Tổng VH+TT</t>
  </si>
  <si>
    <t>Văn hoá</t>
  </si>
  <si>
    <t>Xã hội</t>
  </si>
  <si>
    <t>Y tế</t>
  </si>
  <si>
    <t>Y tế - xã hội</t>
  </si>
  <si>
    <t>Tài nguyên và Môi trường</t>
  </si>
  <si>
    <t>qlnn</t>
  </si>
  <si>
    <t>Khoa học, công nghệ và công nghệ thông tin</t>
  </si>
  <si>
    <t>cap nuoc</t>
  </si>
  <si>
    <t>gt</t>
  </si>
  <si>
    <t>Cấp nước và xử lý rác thải, nước thải</t>
  </si>
  <si>
    <t>nn</t>
  </si>
  <si>
    <t>Lĩnh vực xã hội</t>
  </si>
  <si>
    <t>Kho tàng</t>
  </si>
  <si>
    <t>Giao thông vận tải</t>
  </si>
  <si>
    <t>Nông, lâm nghiệp và thủy sản</t>
  </si>
  <si>
    <t>Công nghiệp</t>
  </si>
  <si>
    <t>Lĩnh vực kinh tế</t>
  </si>
  <si>
    <t>- Chi bổ sung dự trữ nhà nước</t>
  </si>
  <si>
    <t>- Vốn điều lệ: Quỹ hợp tác xã</t>
  </si>
  <si>
    <t>- Cho vay chính sách hộ đồng bào dân tộc thiểu số đặc biệt khó khăn, nhà ở cho người nghèo, cho vay hộ đồng bào nghèo vùng Đồng bằng Sông Cửu Long,...</t>
  </si>
  <si>
    <t>- Lợi nhuận để lại đầu tư của Tập đoàn Dầu khí</t>
  </si>
  <si>
    <t>Cho vay giải quyết việc làm</t>
  </si>
  <si>
    <t>- Bù lãi suất tín dụng đầu tư và tín dụng chính sách xã hội</t>
  </si>
  <si>
    <t>- Bổ sung vốn cho các doanh nghiệp công ích và doanh nghiệp của khu kinh tế quốc phòng</t>
  </si>
  <si>
    <t>- Bổ sung các Quỹ xúc tiến thương mại, đầu tư, du lịch và góp vốn cổ phần các tổ chức tài chính quốc tế</t>
  </si>
  <si>
    <t>CÁC KHOẢN CHI CHUNG</t>
  </si>
  <si>
    <t>Phụ lục 17</t>
  </si>
  <si>
    <t>Tỷ trọng thu cân đối không bao gồm đầu tư từ tiền bán nhà đất, dầu thô, thu XNK, viện trợ</t>
  </si>
  <si>
    <t>2011-2015</t>
  </si>
  <si>
    <t>Ngành, lĩnh vực</t>
  </si>
  <si>
    <t>Phụ lục 12b</t>
  </si>
  <si>
    <t>Phụ lục 13b</t>
  </si>
  <si>
    <t>Phương án 1</t>
  </si>
  <si>
    <t>Phương án 2</t>
  </si>
  <si>
    <r>
      <t xml:space="preserve">ĐẦU TƯ PHÁT TRIỂN TOÀN XÃ HỘI THEO NGÀNH, LĨNH VỰC GIAI ĐOẠN 2011-2015
</t>
    </r>
    <r>
      <rPr>
        <b/>
        <i/>
        <sz val="14"/>
        <rFont val="Times New Roman"/>
        <family val="1"/>
      </rPr>
      <t>(Phương án 2)</t>
    </r>
  </si>
  <si>
    <t>-</t>
  </si>
  <si>
    <t>Đơn vị: Tỷ đồng (giá thực tế)</t>
  </si>
  <si>
    <r>
      <t xml:space="preserve">ĐẦU TƯ NGUỒN NSNN VÀ TPCP PHÂN THEO NGÀNH, LĨNH VỰC GIAI ĐOẠN 2011-2015
</t>
    </r>
    <r>
      <rPr>
        <b/>
        <i/>
        <sz val="12"/>
        <rFont val="Times New Roman"/>
        <family val="1"/>
      </rPr>
      <t>(Phương án 2)</t>
    </r>
  </si>
  <si>
    <t>Chỉ tiêu</t>
  </si>
  <si>
    <t>Chỉ tiêu kinh tế</t>
  </si>
  <si>
    <t>Chỉ tiêu xã hội</t>
  </si>
  <si>
    <t>- Nhập siêu so với xuất khẩu</t>
  </si>
  <si>
    <t xml:space="preserve"> % </t>
  </si>
  <si>
    <t xml:space="preserve"> Tỷ USD </t>
  </si>
  <si>
    <t xml:space="preserve"> USD </t>
  </si>
  <si>
    <t xml:space="preserve"> Triệu người </t>
  </si>
  <si>
    <t xml:space="preserve"> Thuê bao </t>
  </si>
  <si>
    <t xml:space="preserve"> m2 </t>
  </si>
  <si>
    <t>Mục tiêu KH 2011-2015</t>
  </si>
  <si>
    <t>TH 2011</t>
  </si>
  <si>
    <t>TH 2012</t>
  </si>
  <si>
    <t>TH 2013</t>
  </si>
  <si>
    <t>Ước TH 2015</t>
  </si>
  <si>
    <t>Ước thực hiện 2011-2015</t>
  </si>
  <si>
    <t xml:space="preserve"> Nghìn tỷ đồng </t>
  </si>
  <si>
    <t>Tốc độ tăng</t>
  </si>
  <si>
    <t>Giáo dục mầm non</t>
  </si>
  <si>
    <t>Giáo dục tiểu học</t>
  </si>
  <si>
    <t>Giáo dục trung học cơ sở</t>
  </si>
  <si>
    <t>Giáo dục trung học phổ thông</t>
  </si>
  <si>
    <t>Đại học, cao đẳng</t>
  </si>
  <si>
    <t xml:space="preserve"> - Tuyển mới đại học và cao đẳng chính quy</t>
  </si>
  <si>
    <t>Dạy nghề và trung cấp chuyên nghiệp</t>
  </si>
  <si>
    <t>Tỷ lệ giá trị sản phẩm công nghệ cao</t>
  </si>
  <si>
    <t>Tỷ lệ sáng chế đăng ký bảo hộ</t>
  </si>
  <si>
    <t>Tỷ lệ đổi mới công nghệ</t>
  </si>
  <si>
    <t>GIÁO DỤC</t>
  </si>
  <si>
    <t>KHOA HỌC VÀ CÔNG NGHỆ</t>
  </si>
  <si>
    <t>ĐÀO TẠO</t>
  </si>
  <si>
    <t xml:space="preserve"> (%) </t>
  </si>
  <si>
    <t>Dân số trung bình (năm cuối kỳ)</t>
  </si>
  <si>
    <t>Trong đó: Dân số nông thôn</t>
  </si>
  <si>
    <t>Lực lượng lao động từ 15 tuổi trở lên</t>
  </si>
  <si>
    <t>Lao động từ 15 tuổi trở lên đang làm việc trong nền kinh tế quốc dân</t>
  </si>
  <si>
    <t>Cơ cấu lao động (năm cuối kỳ)</t>
  </si>
  <si>
    <t>- Nông, lâm nghiệp và thuỷ sản</t>
  </si>
  <si>
    <t>Số lao động được tạo việc làm</t>
  </si>
  <si>
    <t>Số di tích được tu bổ</t>
  </si>
  <si>
    <t>Số giường bệnh/ 1 vạn dân (không tính giường của trạm y tế xã)</t>
  </si>
  <si>
    <t>Số bác sỹ/ 1 vạn dân</t>
  </si>
  <si>
    <t>Tỷ suất chết trẻ em dưới 1 tuổi</t>
  </si>
  <si>
    <t>Tỷ suất chết của trẻ em dưới 5 tuổi</t>
  </si>
  <si>
    <t>Tỷ lệ trẻ em dưới 5 tuổi suy dinh dưỡng (cân nặng theo tuổi)</t>
  </si>
  <si>
    <t>Tỷ lệ trẻ em dưới 1 tuổi tiêm đủ 7 loại vaccine</t>
  </si>
  <si>
    <t>Tỷ lệ xã có bác sỹ</t>
  </si>
  <si>
    <t xml:space="preserve"> Di tích </t>
  </si>
  <si>
    <t xml:space="preserve"> Giường </t>
  </si>
  <si>
    <t xml:space="preserve"> Bác sỹ </t>
  </si>
  <si>
    <t xml:space="preserve"> Người </t>
  </si>
  <si>
    <t>- Mức giảm tỷ lệ sinh (năm cuối kỳ)</t>
  </si>
  <si>
    <t>DÂN SỐ</t>
  </si>
  <si>
    <t>LAO ĐỘNG</t>
  </si>
  <si>
    <t>VĂN HÓA</t>
  </si>
  <si>
    <t>Y TẾ (năm cuối kỳ)</t>
  </si>
  <si>
    <t>Thu nội địa (không kể thu từ dầu thô)</t>
  </si>
  <si>
    <t>Thu từ dầu thô</t>
  </si>
  <si>
    <t>Thu từ xuất, nhập khẩu</t>
  </si>
  <si>
    <t>TỔNG THU CÂN ĐỐI</t>
  </si>
  <si>
    <t>TỔNG CHI NSNN</t>
  </si>
  <si>
    <t>Vốn cấp mới và tăng thêm</t>
  </si>
  <si>
    <t>Nộp ngân sách</t>
  </si>
  <si>
    <t>Số lao động cuối kỳ báo cáo</t>
  </si>
  <si>
    <t>Tổng số doanh nghiệp đăng ký thành lập</t>
  </si>
  <si>
    <t>Số doanh nghiệp đăng ký mới</t>
  </si>
  <si>
    <t>Tổng số vốn đăng ký của doanh nghiệp dân doanh thành lập mới</t>
  </si>
  <si>
    <t>Số doanh nghiệp hoạt động trong nền kinh tế (không tính các doanh nghiệp đã giải thể)</t>
  </si>
  <si>
    <t>Số doanh nghiệp giải thể hàng năm</t>
  </si>
  <si>
    <t xml:space="preserve"> Nghìn doanh nghiệp </t>
  </si>
  <si>
    <t xml:space="preserve">2011-2015  </t>
  </si>
  <si>
    <t>PHỤ LỤC I</t>
  </si>
  <si>
    <t>Tỷ đồng</t>
  </si>
  <si>
    <t>- Số học sinh mẫu giáo</t>
  </si>
  <si>
    <t>- Số học sinh tiểu học</t>
  </si>
  <si>
    <t>- Số học sinh trung học cơ sở</t>
  </si>
  <si>
    <t>- Số học sinh trung học phổ thông</t>
  </si>
  <si>
    <t>- Tuyển mới trung cấp chuyên nghiệp</t>
  </si>
  <si>
    <t>- Tỷ lệ lao động qua đào tạo</t>
  </si>
  <si>
    <t>Triệu đồng</t>
  </si>
  <si>
    <t>Người</t>
  </si>
  <si>
    <t>Trong đó lao động nữ</t>
  </si>
  <si>
    <t>Triệu đồng/ tháng/ người</t>
  </si>
  <si>
    <t xml:space="preserve">2011-2015   </t>
  </si>
  <si>
    <t>Biểu mẫu số 1</t>
  </si>
  <si>
    <t>Biểu mẫu số 14</t>
  </si>
  <si>
    <t>Biểu mẫu số 13</t>
  </si>
  <si>
    <t>Biểu mẫu số 12</t>
  </si>
  <si>
    <t>Biểu mẫu số 11</t>
  </si>
  <si>
    <t>Biểu mẫu số 8</t>
  </si>
  <si>
    <t>Biểu mẫu số 7</t>
  </si>
  <si>
    <t xml:space="preserve"> Nghìn.tỷ đồng </t>
  </si>
  <si>
    <t>Chỉ tiêu Tài nguyên - Môi trường và phát triển bền vững</t>
  </si>
  <si>
    <t>Mục tiêu 2011-2015</t>
  </si>
  <si>
    <t>Tỷ lệ người dân tham gia bảo hiểm y tế</t>
  </si>
  <si>
    <t>Tỷ trọng thu nội địa trên tổng thu NSNN</t>
  </si>
  <si>
    <t>Tỷ trọng thu từ dầu thô trên tổng thu NSNN</t>
  </si>
  <si>
    <t>Tỷ trọng thu từ xuất, nhập khẩu trên tổng thu NSNN</t>
  </si>
  <si>
    <t>Tỷ trọng thu viện trợ trên tổng thu NSNN</t>
  </si>
  <si>
    <t>Tỷ trọng chi đầu tư phát triển so với tổng chi</t>
  </si>
  <si>
    <t>Vốn đầu tư thực hiện</t>
  </si>
  <si>
    <t>Trong đó: Vốn nước ngoài</t>
  </si>
  <si>
    <t>Tỷ trọng chi thường xuyên so với tổng chi</t>
  </si>
  <si>
    <t>Tỷ trọng chi trả nợ, viện trợ so với tổng chi</t>
  </si>
  <si>
    <t>Ước TH 
2011-2015</t>
  </si>
  <si>
    <t>Chi thường xuyên</t>
  </si>
  <si>
    <t>Chi đầu tư phát triển</t>
  </si>
  <si>
    <t xml:space="preserve"> Tốc độ tăng tuyển mới đại học và cao đẳng chính quy</t>
  </si>
  <si>
    <r>
      <t xml:space="preserve"> %</t>
    </r>
    <r>
      <rPr>
        <sz val="10"/>
        <rFont val="Times New Roman"/>
        <family val="1"/>
      </rPr>
      <t xml:space="preserve">o </t>
    </r>
  </si>
  <si>
    <t>Doanh nghiệp</t>
  </si>
  <si>
    <t xml:space="preserve">    - Doanh nghiệp 100% vốn nhà nước</t>
  </si>
  <si>
    <t xml:space="preserve">    - Doanh nghiệp &gt; 50% vốn nhà nước</t>
  </si>
  <si>
    <t xml:space="preserve"> Tuổi </t>
  </si>
  <si>
    <t>TÌNH HÌNH THỰC HIỆN KẾ HOẠCH GIÁO DỤC, ĐÀO TẠO VÀ KHOA HỌC CÔNG NGHỆ 5 NĂM 2011-2015</t>
  </si>
  <si>
    <t>TÌNH HÌNH THỰC HIỆN KẾ HOẠCH ĐẦU TƯ TRỰC TIẾP NƯỚC NGOÀI 5 NĂM 2011-2015</t>
  </si>
  <si>
    <t>TÌNH HÌNH THỰC HIỆN ĐĂNG KÝ THÀNH LẬP DOANH NGHIỆP 5 NĂM 2011-2015</t>
  </si>
  <si>
    <t>Tỷ lệ nợ chính quyền địa phương so tổng chi NSNN</t>
  </si>
  <si>
    <t xml:space="preserve">Ghi chú: (*) Ghi rõ đạt hay không đạt kế hoạch </t>
  </si>
  <si>
    <r>
      <t xml:space="preserve">So với mục tiêu kế hoạch giai đoạn 2011-2015 
</t>
    </r>
    <r>
      <rPr>
        <sz val="13"/>
        <rFont val="Times New Roman"/>
        <family val="1"/>
      </rPr>
      <t>(*)</t>
    </r>
  </si>
  <si>
    <t xml:space="preserve"> - GRDP theo VNĐ</t>
  </si>
  <si>
    <t xml:space="preserve"> - Tổng GRDP qui USD </t>
  </si>
  <si>
    <r>
      <t xml:space="preserve">So với mục tiêu 
kế hoạch giai đoạn 2011-2015 </t>
    </r>
    <r>
      <rPr>
        <sz val="13"/>
        <rFont val="Times New Roman"/>
        <family val="1"/>
      </rPr>
      <t>(*)</t>
    </r>
  </si>
  <si>
    <r>
      <t xml:space="preserve">So với mục tiêu
kế hoạch giai đoạn
 2011-2015 </t>
    </r>
    <r>
      <rPr>
        <sz val="13"/>
        <rFont val="Times New Roman"/>
        <family val="1"/>
      </rPr>
      <t>(*)</t>
    </r>
  </si>
  <si>
    <r>
      <t>So với mục tiêu
kế hoạch giai đoạn
 2011-2015</t>
    </r>
    <r>
      <rPr>
        <sz val="13"/>
        <rFont val="Times New Roman"/>
        <family val="1"/>
      </rPr>
      <t>(*)</t>
    </r>
  </si>
  <si>
    <t>TÌNH HÌNH THỰC HIỆN KẾ HOẠCH SẮP XẾP DOANH NGHIỆP NHÀ NƯỚC 
VÀ PHÁT TRIỂN DOANH NGHIỆP NGOÀI NHÀ NƯỚC 5 NĂM 2011-2015</t>
  </si>
  <si>
    <t>Doanh nghiệp nhà nước</t>
  </si>
  <si>
    <t>Số doanh nghiệp nhà nước đang hoạt động</t>
  </si>
  <si>
    <t>Số doanh nghiệp nhà nước cổ phần hóa</t>
  </si>
  <si>
    <t>Tổng vốn chủ sở hữu tại doanh nghiệp</t>
  </si>
  <si>
    <t>Tổng vốn điều lệ</t>
  </si>
  <si>
    <t>Đóng góp ngân sách</t>
  </si>
  <si>
    <t>Tổng doanh thu</t>
  </si>
  <si>
    <t>Tổng lợi nhuận</t>
  </si>
  <si>
    <t>Tổng nợ phải trả</t>
  </si>
  <si>
    <t>Doanh nghiệp ngoài nhà nước</t>
  </si>
  <si>
    <t>Số doanh nghiệp ngoài nhà nước đang hoạt động lũy kế đến kỳ báo cáo</t>
  </si>
  <si>
    <t>Số DN kinh doanh có lãi</t>
  </si>
  <si>
    <t>Số lao động trong doanh nghiệp</t>
  </si>
  <si>
    <t>Thu nhập bình quân người lao động</t>
  </si>
  <si>
    <t>Tổng vốn đầu tư thực hiện</t>
  </si>
  <si>
    <t>Doanh thu thuần</t>
  </si>
  <si>
    <t>Lợi nhuận trước thuế</t>
  </si>
  <si>
    <t>Đóng góp ngân sách nhà nước</t>
  </si>
  <si>
    <t>Tổng ngân sách thực hiện các chương trình hỗ trợ doanh nghiệp nhỏ và vừa trên địa bàn</t>
  </si>
  <si>
    <t>Xuất khẩu (không kể dầu thô)</t>
  </si>
  <si>
    <t>Xuất khẩu (kể cả dầu thô)</t>
  </si>
  <si>
    <t>- Tỷ lệ tăng dân số (năm cuối kỳ)</t>
  </si>
  <si>
    <t>TÌNH HÌNH THỰC HIỆN KẾ HOẠCH CÁC LĨNH VỰC XÃ HỘI 5 NĂM 2011-2015</t>
  </si>
  <si>
    <t>- Số giường bệnh quốc lập/ 1 vạn dân</t>
  </si>
  <si>
    <t>- Số giường bệnh tư/ 1 vạn dân</t>
  </si>
  <si>
    <t>Tỷ lệ xã đạt chuẩn quốc gia về y tế</t>
  </si>
  <si>
    <t>Số lao động là thành viên của tổ hợp tác đăng ký chứng thực</t>
  </si>
  <si>
    <t>Số lao động là thành viên tổ hợp tác</t>
  </si>
  <si>
    <t xml:space="preserve">Tổng số lao động trong tổ hợp tác </t>
  </si>
  <si>
    <r>
      <t>Trong đó:</t>
    </r>
    <r>
      <rPr>
        <sz val="14"/>
        <rFont val="Times New Roman"/>
        <family val="1"/>
      </rPr>
      <t xml:space="preserve"> Số thành viên của tổ hợp tác đăng ký chứng thực</t>
    </r>
  </si>
  <si>
    <t>Thành viên</t>
  </si>
  <si>
    <t>Tổng số thành viên tổ hợp tác</t>
  </si>
  <si>
    <r>
      <t>Trong đó:</t>
    </r>
    <r>
      <rPr>
        <sz val="14"/>
        <rFont val="Times New Roman"/>
        <family val="1"/>
      </rPr>
      <t xml:space="preserve"> Số tổ hợp tác đăng ký chứng thực</t>
    </r>
  </si>
  <si>
    <t>Tổ hợp tác</t>
  </si>
  <si>
    <t>Tổng số tổ hợp tác</t>
  </si>
  <si>
    <t xml:space="preserve">Tổ hợp tác </t>
  </si>
  <si>
    <t xml:space="preserve">Tổng số lao động trong liên hiệp hợp tác xã </t>
  </si>
  <si>
    <t>Hợp tác xã</t>
  </si>
  <si>
    <t>Tổng số hợp tác xã thành viên</t>
  </si>
  <si>
    <t>Liên hiệp hợp tác xã</t>
  </si>
  <si>
    <t>Số liên hiệp hợp tác xã giải thể</t>
  </si>
  <si>
    <t>Số liên hiệp hợp tác xã thành lập mới</t>
  </si>
  <si>
    <t>Tổng số liên hiệp hợp tác xã</t>
  </si>
  <si>
    <r>
      <t xml:space="preserve">Trong đó: </t>
    </r>
    <r>
      <rPr>
        <sz val="14"/>
        <rFont val="Times New Roman"/>
        <family val="1"/>
      </rPr>
      <t>Số lao động là thành viên hợp tác xã</t>
    </r>
  </si>
  <si>
    <t>Tổng số lao động trong hợp tác xã</t>
  </si>
  <si>
    <t>Tổng số thành viên hợp tác xã</t>
  </si>
  <si>
    <t>Số hợp tác xã giải thể</t>
  </si>
  <si>
    <t>Số hợp tác xã thành lập mới</t>
  </si>
  <si>
    <t>Tổng số  hợp tác xã</t>
  </si>
  <si>
    <t>Biểu mẫu số 16</t>
  </si>
  <si>
    <t>KẾ HOẠCH PHÁT TRIỂN KINH TẾ TẬP THỂ 5 NĂM 2011-2015</t>
  </si>
  <si>
    <t>Tỉnh Điện Biên</t>
  </si>
  <si>
    <t>TH 2010</t>
  </si>
  <si>
    <t>Tổng giá trị gia tăng(GDP)</t>
  </si>
  <si>
    <t xml:space="preserve"> - Nông, lâm nghiệp và thuỷ sản </t>
  </si>
  <si>
    <t xml:space="preserve"> - Công nghiệp và xây dựng </t>
  </si>
  <si>
    <t xml:space="preserve"> - Dịch vụ </t>
  </si>
  <si>
    <t>Tốc độ tăng trưởng</t>
  </si>
  <si>
    <t>Tổng sản phẩm GRDP</t>
  </si>
  <si>
    <t>GDP theo chỉ tiêu Đại hội Đảng bộ tỉnh (giá HH)</t>
  </si>
  <si>
    <t xml:space="preserve">Cơ cấu </t>
  </si>
  <si>
    <t>-7,67</t>
  </si>
  <si>
    <t xml:space="preserve">GRDP quy đổi theo Chỉ thị số 22/CT-TTg ngày 5/8/2014 của Thủ tướng Chính phủ (TCTK đã tính toán và công bố theo giá hiện hành) </t>
  </si>
  <si>
    <t xml:space="preserve"> - GRDP bình quân đầu người(Giá sản xuất)</t>
  </si>
  <si>
    <t>Cơ cấu kinh tế ( GRDP theo TCTK công bố theo giá HH)</t>
  </si>
  <si>
    <t>Cơ cấu :</t>
  </si>
  <si>
    <t xml:space="preserve">Tổng vốn đầu tư toàn xã hội </t>
  </si>
  <si>
    <t>- Trung ương quản lý</t>
  </si>
  <si>
    <t>- Địa phương quản lý</t>
  </si>
  <si>
    <t xml:space="preserve"> + Vốn dân cư</t>
  </si>
  <si>
    <t>- Vốn đầu tư trực tiếp nước ngoài (FDI)</t>
  </si>
  <si>
    <t>Tổng vốn đầu tư toàn xã hội so GRDP theo chỉ tiêu của Đại hội Đảng bộ tỉnh (Giá sản xuất-HH)</t>
  </si>
  <si>
    <t>Tổng vốn đầu tư toàn xã hội so GRDP (giá cơ bản-HH)</t>
  </si>
  <si>
    <t xml:space="preserve">Xuất nhập khẩu </t>
  </si>
  <si>
    <t xml:space="preserve"> -  Xuất khẩu trực tiếp </t>
  </si>
  <si>
    <t xml:space="preserve"> Triệu USD </t>
  </si>
  <si>
    <t xml:space="preserve"> Tốc độ tăng xuất khẩu trực tiếp</t>
  </si>
  <si>
    <t>- Xuất khẩu trực tiếp/người</t>
  </si>
  <si>
    <t xml:space="preserve"> - Nhập khẩu địa phương</t>
  </si>
  <si>
    <t xml:space="preserve"> Tốc độ tăng nhập khẩu địa phương</t>
  </si>
  <si>
    <t xml:space="preserve">Chỉ số giá tiêu dùng </t>
  </si>
  <si>
    <t xml:space="preserve">- Dân số trung bình </t>
  </si>
  <si>
    <t xml:space="preserve">- Tỷ lệ tăng dân số </t>
  </si>
  <si>
    <t xml:space="preserve">- Mức giảm tỷ lệ hộ nghèo (theo chuẩn 2011-2015) </t>
  </si>
  <si>
    <t xml:space="preserve">- Số lao động được tạo việc làm </t>
  </si>
  <si>
    <t xml:space="preserve">- Tỷ lệ lao động qua đào tạo trong tổng số lao động đang làm việc trong nền kinh tế </t>
  </si>
  <si>
    <t xml:space="preserve">- Tỷ lệ thất nghiệp khu vực thành thị </t>
  </si>
  <si>
    <t xml:space="preserve">- Tuổi thọ trung bình </t>
  </si>
  <si>
    <t xml:space="preserve">- Số thuê bao điện thoại/100 dân </t>
  </si>
  <si>
    <t xml:space="preserve">- Số thuê bao internet /100 dân </t>
  </si>
  <si>
    <t xml:space="preserve">- Diện tích nhà ở bình quân sàn/người </t>
  </si>
  <si>
    <t xml:space="preserve">+ Diện tích nhà ở bình quân tại đô thị </t>
  </si>
  <si>
    <t xml:space="preserve">+ Diện tích nhà ở bình quân tại nông thôn </t>
  </si>
  <si>
    <t xml:space="preserve">- Tỷ lệ che phủ rừng </t>
  </si>
  <si>
    <t xml:space="preserve">- Tỷ lệ dân số nông thôn được cung cấp nước hợp vệ sinh  </t>
  </si>
  <si>
    <t xml:space="preserve">- Tỷ lệ dân số thành thị được cung cấp nước sạch </t>
  </si>
  <si>
    <t xml:space="preserve">- Thu gom chất thải rắn ở đô thị  </t>
  </si>
  <si>
    <t xml:space="preserve">- Tỷ lệ xử lý chất thải rắn y tế đạt tiêu chuẩn  </t>
  </si>
  <si>
    <t xml:space="preserve">- Tỷ lệ xử lý triệt để cơ sở gây ô nhiễm môi trường nghiêm trọng  </t>
  </si>
  <si>
    <t xml:space="preserve">- Tuyển mới cao đẳng nghề </t>
  </si>
  <si>
    <t xml:space="preserve">Tốc độ tăng tuyển mới cao đẳng </t>
  </si>
  <si>
    <t>- Tuyển mới trung cấp nghề</t>
  </si>
  <si>
    <t>Tốc độ tăng tuyển mới  trung cấp nghề</t>
  </si>
  <si>
    <t xml:space="preserve"> người </t>
  </si>
  <si>
    <t>chưa đạt</t>
  </si>
  <si>
    <t xml:space="preserve">Học sinh </t>
  </si>
  <si>
    <t xml:space="preserve"> </t>
  </si>
  <si>
    <t xml:space="preserve"> SLĐ</t>
  </si>
  <si>
    <t xml:space="preserve"> S Tke</t>
  </si>
  <si>
    <t xml:space="preserve">Đạt </t>
  </si>
  <si>
    <t>&lt;20</t>
  </si>
  <si>
    <t>&gt;94</t>
  </si>
  <si>
    <t>&gt;98</t>
  </si>
  <si>
    <t xml:space="preserve"> đạt</t>
  </si>
  <si>
    <t>đạt</t>
  </si>
  <si>
    <t>thấp hơn</t>
  </si>
  <si>
    <t>8.000-8.500</t>
  </si>
  <si>
    <t>-0,7</t>
  </si>
  <si>
    <t>-0,5</t>
  </si>
  <si>
    <t>+0,3</t>
  </si>
  <si>
    <t>+0,5</t>
  </si>
  <si>
    <t xml:space="preserve"> Sở khoa học báo Ko có</t>
  </si>
  <si>
    <t xml:space="preserve"> 8000-8500</t>
  </si>
  <si>
    <t xml:space="preserve"> +0,8</t>
  </si>
  <si>
    <t>0</t>
  </si>
  <si>
    <t>Tổng số doanh nghiệp đăng ký thành lập là tổng số tính theo lũy kế đến hết năm báo cáo, không tính các doanh nghiệp đã giải thể</t>
  </si>
  <si>
    <t>Số doanh nghiệp hoạt động bằng tổng số trừ đi số giải thể và số đăng ký tạm ngừng hoạt động</t>
  </si>
  <si>
    <t>Số doanh nghiệp nhà nước thực hiện hình thức sắp xếp khác (Thoái vốn)</t>
  </si>
  <si>
    <t xml:space="preserve">      - Vốn điều lệ DNNN năm  2014 tăng đột biến là từ việc điều chỉnh vốn điều lệ của Công ty CP Giống nông nghiệp,Công ty Xổ số kiến thiết, Công ty cổ phần Đầu tư xây dựng và Quản lý giao thông tỉnh Điện Biên, Công ty TNHH Xây dựng cấp phát nước Điện Biên, Công ty TNHH Quản lý thủy nông Điện Biên (riêng Công ty TNHH Quản lý thủy nông Điện Biên năm từ năm 2013 đến năm 2015 tăng 331,500 tỷ đồng);
      - Trợ giúp đào tạo nguồn nhân lực DNNVV từ năm 2012-2014 do Bộ Kế hoạch và Đầu tư hỗ trợ thực hiện thông qua Trung tâm Hỗ trợ DNNVV Phía Bắc bằng nguồn vốn TW 100%</t>
  </si>
  <si>
    <t xml:space="preserve">  Tỉnh Điện Biên         </t>
  </si>
  <si>
    <t>Hệ số ICOR</t>
  </si>
  <si>
    <t xml:space="preserve"> - Tổng kim ngạch xuất khẩu hàng hóa</t>
  </si>
  <si>
    <t xml:space="preserve"> Tốc độ tăng xuất khẩu</t>
  </si>
  <si>
    <t>- Kim ngạch xuất khẩu/người</t>
  </si>
  <si>
    <t xml:space="preserve"> - Tổng kim ngạch nhập khẩu hàng hóa</t>
  </si>
  <si>
    <t xml:space="preserve"> Tốc độ tăng nhập khẩu</t>
  </si>
  <si>
    <t xml:space="preserve"> Không đạt</t>
  </si>
  <si>
    <t>Biểu mẫu số 3</t>
  </si>
  <si>
    <t>TÌNH HÌNH THỰC HIỆN KẾ HOẠCH NGÀNH CÔNG NGHIỆP 5 NĂM 2011-2015</t>
  </si>
  <si>
    <t>GIÁ TRỊ TĂNG THÊM NGÀNH CÔNG NGHIỆP (giá 2010).</t>
  </si>
  <si>
    <t>SẢN PHẨM SX CHỦ YẾU</t>
  </si>
  <si>
    <t>Điện phát ra</t>
  </si>
  <si>
    <t>Tr.kwh</t>
  </si>
  <si>
    <t>Than khai thác</t>
  </si>
  <si>
    <t>Tấn</t>
  </si>
  <si>
    <t>Đá khai thác</t>
  </si>
  <si>
    <t>1000m3</t>
  </si>
  <si>
    <t>Gạch xây</t>
  </si>
  <si>
    <t>Tr.viên</t>
  </si>
  <si>
    <t>Nước máy sản xuất</t>
  </si>
  <si>
    <t>Tr.m3</t>
  </si>
  <si>
    <t>Trang inoffset</t>
  </si>
  <si>
    <t>Tr. trang</t>
  </si>
  <si>
    <t>Xi măng PC30</t>
  </si>
  <si>
    <t>1000 tấn</t>
  </si>
  <si>
    <t>Chế biến thức ăn gia súc, gia cầm.</t>
  </si>
  <si>
    <t>Số xã có điện lưới quốc gia</t>
  </si>
  <si>
    <t>xã</t>
  </si>
  <si>
    <t>Tỷ lệ số hộ dân sử dụng điện</t>
  </si>
  <si>
    <t>Trên 80%</t>
  </si>
  <si>
    <t>Biểu mẫu số 4</t>
  </si>
  <si>
    <t>NĂNG LỰC TĂNG THÊM NGÀNH CÔNG NGHIỆP 5 NĂM 2011-2015</t>
  </si>
  <si>
    <t>Ngành công nghiệp</t>
  </si>
  <si>
    <t>Tổng công suất đến hết năm 2010</t>
  </si>
  <si>
    <t>Công suất tăng thêm giai đoạn 2011-2015</t>
  </si>
  <si>
    <t>Tổng công suất đến hết năm 2015</t>
  </si>
  <si>
    <t>Tổng số</t>
  </si>
  <si>
    <t>1</t>
  </si>
  <si>
    <t>2</t>
  </si>
  <si>
    <t>3</t>
  </si>
  <si>
    <t>4</t>
  </si>
  <si>
    <t>5</t>
  </si>
  <si>
    <t>6</t>
  </si>
  <si>
    <t>7</t>
  </si>
  <si>
    <t>8</t>
  </si>
  <si>
    <t>9</t>
  </si>
  <si>
    <t>10</t>
  </si>
  <si>
    <t>11=4+10</t>
  </si>
  <si>
    <t>Ngành điện</t>
  </si>
  <si>
    <t>MW</t>
  </si>
  <si>
    <t>Ngành xi măng</t>
  </si>
  <si>
    <t xml:space="preserve"> 1000 tấn </t>
  </si>
  <si>
    <t>Ngành chế biến khoáng sản</t>
  </si>
  <si>
    <t>a. Khai thác than</t>
  </si>
  <si>
    <t>b. Khai thác đá</t>
  </si>
  <si>
    <t xml:space="preserve">1000 m3 </t>
  </si>
  <si>
    <t>c. Khai thác vàng</t>
  </si>
  <si>
    <t xml:space="preserve">kg </t>
  </si>
  <si>
    <t>d. Khai thác chì kẽm</t>
  </si>
  <si>
    <t xml:space="preserve">1000 tấn </t>
  </si>
  <si>
    <t>Ngành chế biến nông lâm sản</t>
  </si>
  <si>
    <t>Chế biến gỗ công nghiệp</t>
  </si>
  <si>
    <t>50.000 m3/năm</t>
  </si>
  <si>
    <t>……….</t>
  </si>
  <si>
    <t>Ngành ………...</t>
  </si>
  <si>
    <t>Ghi chú: (*) Số liệu điện sản xuất, điện nhập khẩu năm 2016 là số ước thực hiện; 2012-2020 và mục tiêu 5 năm 2011-2015 là lấy theo quy hoạch điện VII được Thủ tướng Chính phủ phê duyệt ngày 21/7/2016</t>
  </si>
  <si>
    <t>Biểu mẫu số 5</t>
  </si>
  <si>
    <t>TÌNH HÌNH THỰC HIỆN KẾ HOẠCH NGÀNH DỊCH VỤ 5 NĂM 2011-2015</t>
  </si>
  <si>
    <t>1.</t>
  </si>
  <si>
    <t>Thương mại</t>
  </si>
  <si>
    <t xml:space="preserve"> Tốc độ tăng tổng mức bán lẻ hàng hóa và dịch vụ tiêu dùng xã hội</t>
  </si>
  <si>
    <t> 130,89</t>
  </si>
  <si>
    <t>109,40 </t>
  </si>
  <si>
    <t>126,53 </t>
  </si>
  <si>
    <t>111,20 </t>
  </si>
  <si>
    <t> 111,94</t>
  </si>
  <si>
    <t>2.</t>
  </si>
  <si>
    <t>Vận tải</t>
  </si>
  <si>
    <t>- Tốc độ tăng khối lượng hàng hoá vận chuyển</t>
  </si>
  <si>
    <t>- Tốc độ tăng khối lượng hàng hoá luân chuyển</t>
  </si>
  <si>
    <t>- Tốc độ tăng khối lượng hành khách vận chuyển</t>
  </si>
  <si>
    <t>- Tốc độ tăng khối lượng hành khách luân chuyển</t>
  </si>
  <si>
    <t>3.</t>
  </si>
  <si>
    <t>Thông tin - Truyền thông</t>
  </si>
  <si>
    <t>- Số thuê bao điện thoại/100 dân</t>
  </si>
  <si>
    <t>Không đạt KH</t>
  </si>
  <si>
    <t>- Số thuê bao internet băng thông rộng/100 dân</t>
  </si>
  <si>
    <t>Đạt KH</t>
  </si>
  <si>
    <t>4.</t>
  </si>
  <si>
    <t>Du lịch</t>
  </si>
  <si>
    <t xml:space="preserve">- Số lượt khách quốc tế đến địa phương </t>
  </si>
  <si>
    <t>- Số lượt khách du lịch nội địa đến địa phương</t>
  </si>
  <si>
    <t>Biểu mẫu số 6</t>
  </si>
  <si>
    <t>TÌNH HÌNH THỰC HIỆN KẾ HOẠCH XUẤT NHẬP KHẨU 5 NĂM 2011-2015</t>
  </si>
  <si>
    <t xml:space="preserve"> XUẤT  KHẨU</t>
  </si>
  <si>
    <t>Triệu USD</t>
  </si>
  <si>
    <t>Tổng kim ngạch xuất khẩu</t>
  </si>
  <si>
    <t>Tr USD</t>
  </si>
  <si>
    <t xml:space="preserve">Tr.đó: XK hàng hóa và DV  do địa phương TH </t>
  </si>
  <si>
    <t>--</t>
  </si>
  <si>
    <t>Sản phẩm xuất khẩu</t>
  </si>
  <si>
    <t>- Xi măng Điện Biên</t>
  </si>
  <si>
    <t>Ngìn.T</t>
  </si>
  <si>
    <t>- Vật liệu xây dựng</t>
  </si>
  <si>
    <t>- Nông lâm sản</t>
  </si>
  <si>
    <t xml:space="preserve">- Hàng hóa khác </t>
  </si>
  <si>
    <t>Tr.USD</t>
  </si>
  <si>
    <t>NHẬP KHẨU</t>
  </si>
  <si>
    <t>Tổng kim ngạch nhập khẩu</t>
  </si>
  <si>
    <t xml:space="preserve">Tr.đ:DN địa phương </t>
  </si>
  <si>
    <t>Sản phẩm nhập khẩu</t>
  </si>
  <si>
    <t xml:space="preserve">-Thiết bị dây truyền sản xuất, khai thác </t>
  </si>
  <si>
    <t xml:space="preserve">Tr.USD </t>
  </si>
  <si>
    <t xml:space="preserve">-Hàng khác </t>
  </si>
  <si>
    <t>Tr. USD</t>
  </si>
  <si>
    <t>XUẤT SIÊU</t>
  </si>
  <si>
    <t xml:space="preserve"> Tr USD </t>
  </si>
  <si>
    <t>Xuất siêu/tổng kim ngạch xuất khẩu</t>
  </si>
  <si>
    <t xml:space="preserve">                                                                                                                                                                Tỉnh Điện Biên</t>
  </si>
  <si>
    <t>Biểu mẫu số 15</t>
  </si>
  <si>
    <t>Đơn vị: Triệu đồng</t>
  </si>
  <si>
    <t>TT</t>
  </si>
  <si>
    <t>Danh mục quy hoạch</t>
  </si>
  <si>
    <t>Kinh phí xây dựng quy hoạch</t>
  </si>
  <si>
    <t>Trong nước</t>
  </si>
  <si>
    <t>Nước ngoài</t>
  </si>
  <si>
    <t>QUY HOẠCH DO THỦ TƯỚNG CHÍNH PHỦ PHÊ DUYỆT</t>
  </si>
  <si>
    <t>QUY HOẠCH DO BỘ TRƯỞNG/THỦ TRƯỞNG CƠ QUAN NGANG BỘ/CHỦ TỊCH UBND CẤP TỈNH PHÊ DUYỆT</t>
  </si>
  <si>
    <t>Biểu mẫu số 9</t>
  </si>
  <si>
    <t>TÌNH HÌNH THỰC HIỆN KẾ HOẠCH VỐN ĐẦU TƯ PHÁT TRIỂN TOÀN XÃ HỘI 5 NĂM 2011-2015 THEO NGUỒN VỐN</t>
  </si>
  <si>
    <t>Nguồn vốn</t>
  </si>
  <si>
    <t>Công chủ trì tổng hợp</t>
  </si>
  <si>
    <t>So với GDP theo chỉ tiêu Đại hội Đảng các cấp</t>
  </si>
  <si>
    <t>So với GRDP theo quy đổi theo Chỉ thị số 22/CT-TTg</t>
  </si>
  <si>
    <t>Vốn đầu tư thuộc ngân sách nhà nước</t>
  </si>
  <si>
    <t>So với tổng số</t>
  </si>
  <si>
    <t>Vốn trái phiếu Chính phủ</t>
  </si>
  <si>
    <t>Vốn tín dụng đầu tư nhà nước</t>
  </si>
  <si>
    <t>Vốn đầu tư của doanh nghiệp nhà nước</t>
  </si>
  <si>
    <t>Vốn đầu tư của dân cư và doanh nghiệp tư nhân</t>
  </si>
  <si>
    <t xml:space="preserve">Ghi chú:  (*) Ghi rõ đạt hay không đạt kế hoạch </t>
  </si>
  <si>
    <t>(**) Đầu tư trực tiếp nước ngoài là phần vốn góp của nhà đầu tư nước ngoài.</t>
  </si>
  <si>
    <t>Biểu mẫu số 10</t>
  </si>
  <si>
    <t>Đơn vị: Tỷ đồng (giá hiện hành)</t>
  </si>
  <si>
    <t>năm 2013 vốn CĐNS+ HTCMT</t>
  </si>
  <si>
    <t>Khoa học, công nghệ</t>
  </si>
  <si>
    <t>Biểu mẫu số 2</t>
  </si>
  <si>
    <t xml:space="preserve">Tốc độ tăng giá trị sản xuất </t>
  </si>
  <si>
    <t xml:space="preserve">Giá trị tăng thêm </t>
  </si>
  <si>
    <t>Sản phẩm chủ yếu</t>
  </si>
  <si>
    <t xml:space="preserve"> - Lương thực có hạt</t>
  </si>
  <si>
    <t xml:space="preserve"> Triệu tấn </t>
  </si>
  <si>
    <t xml:space="preserve">   Trong đó: + Thóc</t>
  </si>
  <si>
    <t xml:space="preserve">                    + Ngô</t>
  </si>
  <si>
    <t xml:space="preserve"> - Cà phê</t>
  </si>
  <si>
    <t xml:space="preserve"> - Cao su</t>
  </si>
  <si>
    <t xml:space="preserve"> Nghìn tấn </t>
  </si>
  <si>
    <t xml:space="preserve"> - Thịt hơi các loại</t>
  </si>
  <si>
    <t xml:space="preserve"> - Trồng rừng tập trung</t>
  </si>
  <si>
    <t xml:space="preserve"> Nghìn ha </t>
  </si>
  <si>
    <t xml:space="preserve"> - Tỷ lệ che phủ rừng</t>
  </si>
  <si>
    <t xml:space="preserve"> - Sản lượng thuỷ hải sản</t>
  </si>
  <si>
    <t xml:space="preserve"> - Diện tích nuôi trồng thuỷ sản</t>
  </si>
  <si>
    <r>
      <t xml:space="preserve">Vốn đầu tư trực tiếp nước ngoài </t>
    </r>
    <r>
      <rPr>
        <b/>
        <vertAlign val="superscript"/>
        <sz val="12"/>
        <rFont val="Times New Roman"/>
        <family val="1"/>
      </rPr>
      <t>(**)</t>
    </r>
  </si>
  <si>
    <t>Ước TH 2011-2015</t>
  </si>
  <si>
    <r>
      <t xml:space="preserve">So với mục tiêu kế hoạch GĐ 2011-2015 </t>
    </r>
    <r>
      <rPr>
        <sz val="12"/>
        <rFont val="Times New Roman"/>
        <family val="1"/>
      </rPr>
      <t>(*)</t>
    </r>
  </si>
  <si>
    <t>TÌNH HÌNH THỰC HIỆN CÂN ĐỐI NGÂN SÁCH NHÀ NƯỚC 5 NĂM 2011-2015</t>
  </si>
  <si>
    <t>0,50%</t>
  </si>
  <si>
    <t>0,38%</t>
  </si>
  <si>
    <t>0,48%</t>
  </si>
  <si>
    <t>Thấp hơn</t>
  </si>
  <si>
    <t>Chỉ tiêu nước sinh hoạt thành thị  theo Niêm giám thống kê</t>
  </si>
  <si>
    <t xml:space="preserve">Không đạt </t>
  </si>
  <si>
    <t xml:space="preserve"> Nghìn lượt người </t>
  </si>
  <si>
    <t xml:space="preserve">  ICOR</t>
  </si>
  <si>
    <t>TÌNH HÌNH THỰC HIỆN KẾ HOẠCH NGÀNH NÔNG, LÂM NGHIỆP VÀ THỦY SẢN 5 NĂM 2011-2015</t>
  </si>
  <si>
    <t>So với mục tiêu kế hoạch giai đoạn 2011-2015 (*)</t>
  </si>
  <si>
    <r>
      <t>So với MT kế hoạch giai đoạn 2011-2015</t>
    </r>
    <r>
      <rPr>
        <sz val="13"/>
        <rFont val="Times New Roman"/>
        <family val="1"/>
      </rPr>
      <t>(*)</t>
    </r>
  </si>
  <si>
    <r>
      <t>So với MTKH giai đoạn
 2011-2015</t>
    </r>
    <r>
      <rPr>
        <sz val="13"/>
        <rFont val="Times New Roman"/>
        <family val="1"/>
      </rPr>
      <t>(*)</t>
    </r>
  </si>
  <si>
    <t>TÌNH HÌNH THỰC HIỆN KẾ HOẠCH ĐẦU TƯ NGUỒN NGÂN SÁCH NHÀ NƯỚC VÀ TRÁI PHIẾU CHÍNH PHỦ PHÂN THEO NGÀNH, LĨNH VỰC 5 NĂM 2011-2015</t>
  </si>
  <si>
    <t>Điều chỉnh Quy hoạch phát triển Bưu chính, Viễn thông và Công nghệ thông tin tỉnh Điện Biên giai đoạn đến năm 2020</t>
  </si>
  <si>
    <t>Vượt KH</t>
  </si>
  <si>
    <t>vượt</t>
  </si>
  <si>
    <t>Đthoại</t>
  </si>
  <si>
    <t>Số liệu niên giám thống kê</t>
  </si>
  <si>
    <t>Số liệu niên giám thống kê chính thức 2011-2013; số 2014,2015 là số liệu ước tính.</t>
  </si>
  <si>
    <t>Internet</t>
  </si>
  <si>
    <t xml:space="preserve"> - GRDP bình quân đầu người (Giá cơ bản)</t>
  </si>
  <si>
    <t xml:space="preserve"> Trong đó: Vốn ODA</t>
  </si>
  <si>
    <t xml:space="preserve">  Thu để lại chi qua NSNN</t>
  </si>
  <si>
    <t>Vốn huy động khác (Bộ ngành TW)</t>
  </si>
  <si>
    <t xml:space="preserve"> - Doanh nghiệp Nhà nước</t>
  </si>
  <si>
    <t>Rà soát quy hoạch tổng thể phát triển kinh tế - xã hội tỉnh Điện Biên giai đoạn đến năm 2020, tầm nhìn đến năm 2030</t>
  </si>
  <si>
    <t>Quy hoạch sử dụng đất đến năm 2020 và kế hoạch sử dụng đất 5 năm kỳ đầu (2011-2015) tỉnh Điện Biên</t>
  </si>
  <si>
    <t xml:space="preserve"> Quy hoạch TĐC dự án thủy điện Sơn La</t>
  </si>
  <si>
    <t>Quy hoạch chung thành phố Điện Biên Phủ</t>
  </si>
  <si>
    <t>Điều chỉnh quy hoạch chung Thị trấn Tuần Giáo</t>
  </si>
  <si>
    <t>Điều chỉnh quy hoạch chung Thị trấn Tủa Chùa</t>
  </si>
  <si>
    <t>Điều chỉnh quy hoạch chung Thị trấn Điện Biên Đông</t>
  </si>
  <si>
    <t>Điều chỉnh quy hoạch chung Thị trấn Mường Chà</t>
  </si>
  <si>
    <t>Điều chỉnh, bổ sung QH chung và QH chi tiết TX Mường Lay</t>
  </si>
  <si>
    <t>Quy hoạch phân khu đa chức năng dọc trục đường 60 m – TP Điện Biên Phủ</t>
  </si>
  <si>
    <t>Quy hoạch khu trung tâm hành chính chính trị tỉnh – TP Điện Biên Phủ</t>
  </si>
  <si>
    <t>Quy hoạch trung tâm dịch vụ thương mại, văn hóa – TP Điện Biên Phủ</t>
  </si>
  <si>
    <t>Quy hoạch phân khu khu trung tâm hiện hữu Thành phố Điện Biên Phủ</t>
  </si>
  <si>
    <t>Quy hoạch chung đô thị huyện Nậm Pồ</t>
  </si>
  <si>
    <t>Quy hoạch chi tiết đô thị huyện Nậm Pồ</t>
  </si>
  <si>
    <t>Quy hoạch chi tiết khu đa chức năng dọc trục đường 60 m thành phố ĐBP</t>
  </si>
  <si>
    <t>Quy hoạch chi tiết khu trung tâm hiện hữu TP ĐBP tỷ lệ 1/500 từ đồi E đến cầu trắng diện tích 100 ha</t>
  </si>
  <si>
    <t>Quy hoạch quản lý chất thải rắn tỉnh Điện Biên đến năm 2020, tầm nhìn đế năm 2030</t>
  </si>
  <si>
    <t>Chương trình phát triển nhà ở tỉnh Điện Biên đến năm 2020 định hướng đến năm 2030</t>
  </si>
  <si>
    <t>Chương trình phát triển đô thị tỉnh Điện Biên giai đoạn 2016-2020, định hướng đến năm 2030</t>
  </si>
  <si>
    <t>Quy hoạch phát triển Hạ tầng Kỹ thuật Viễn thông thụ động tỉnh Điện Biên giai đoạn đến năm 2020</t>
  </si>
  <si>
    <t>Quy hoạch phát triển Báo chí Xuất bản tỉnh Điện Biên giai đoạn đến năm 2020</t>
  </si>
  <si>
    <t>Quy hoạch phát triển giao thông vận tải tỉnh Điện Biên giai đoạn 2011 - 2020 và định hướng đến năm 2030.</t>
  </si>
  <si>
    <t>Quy hoạch các điểm đấu nối vào quốc lộ qua địa bàn tỉnh Điện Biên năm 2011, định hướng năm 2020.</t>
  </si>
  <si>
    <t>Đề án quy hoạch chi tiết cơ sở hạ tầng đường thủy nội địa tỉnh Điện Biên giai đoạn đến năm 2020 và định hướng đến năm 2030.</t>
  </si>
  <si>
    <t>Điều chỉnh bổ sung cục bộ quy hoạch các điểm đấu nối vào quốc lộ qua địa bàn tỉnh Điện Biên giai đoạn 2011 - 2020.</t>
  </si>
  <si>
    <t>Quy hoạch tổng thể phát triển Du lịch tỉnh Điện Biên giai đoạn đến năm 2020.</t>
  </si>
  <si>
    <t>Đề án Bảo tồn và phát triển văn hóa các dân tộc tỉnh Điện Biên gắn với phát triển kinh tế - xã hội đén năm 2015 và định hướng đến năm 2020</t>
  </si>
  <si>
    <t>Quy hoạch phát triển nghiệp giáo dục và đào tạo tỉnh Điện Biên giai đoạn 2008-2015, định hướng đến năm 2020</t>
  </si>
  <si>
    <t>Quy hoạch phát triển trường Cao đẳng sư phạm Điện Biên giai đoạn 2010-2015, định hướng đến năm 2020</t>
  </si>
  <si>
    <t>Điều chỉnh bổ sung quy hoạch phát triển Ngành Y tế tỉnh Điện Biên giai đoạn 2014 – 2020 và tầm nhìn đến năm 2030</t>
  </si>
  <si>
    <t>Quy hoạch phát triển nhân lực tỉnh Điện Biên giai đoạn 2011-2020;</t>
  </si>
  <si>
    <t>Dự án quy hoạch bảo tồn đa dạng sinh học tỉnh Điện Biên đến năm 2020 định hướng đến năm 2030</t>
  </si>
  <si>
    <t>Dự án quy hoạch phân bổ tài nguyên nước mặt tỉnh Điện Biên đến năm 2020</t>
  </si>
  <si>
    <t>Quy hoạch chung và quy hoạch chi tiết các khu TĐC TX Mường Lay</t>
  </si>
  <si>
    <t>Bổ sung QH chi  tiết các cum dân NN bản Na Nát khu TĐC Nậm Cản</t>
  </si>
  <si>
    <t>Bổ sung QH chi  tiết các cum dân NN bản Hốc khu TĐC Cơ Khí</t>
  </si>
  <si>
    <t>Bổ sung QH chi tiết các cụm dân bản Ổ khu TĐC Lay Nưa</t>
  </si>
  <si>
    <t>Quy hoạch chi tiết sản xuất nông nghiệp TX Mường Lay</t>
  </si>
  <si>
    <t>Quy hoạch phát triển điện lực tỉnh Điện Biên giai đoạn 2011-2015 có xét đến 2020</t>
  </si>
  <si>
    <t>Quy hoạch phát triển điện lực TP. Điện Biên Phủ giai đoạn 2012-2016, có xét đến 2020.</t>
  </si>
  <si>
    <t>Quy hoạch phát triển cụm công nghiệp trên địa bàn tỉnh Điện Biên đến năm 2020, định hướng đến năm 2025</t>
  </si>
  <si>
    <t>Dự án quy hoạch Chi tiết xây dựng cơ sở hạ tầng Khu bảo tồn thiên nhiên Mường Nhé</t>
  </si>
  <si>
    <t>Dự án quy hoạch chi tiết phát triển Lâm nghiệp thị xã Mường lay đến năm 2020</t>
  </si>
  <si>
    <t>Dự án Quy hoạch phát triển Nông nghiệp nông thôn xã Mường Phăng huyện Điện Biên tỉnh Điện Biên giai đoạn 2011 - 2020</t>
  </si>
  <si>
    <t>Quy hoạch sử dụng đất đến năm 2020 và kế hoạch sử dụng đất 5 năm kỳ đầu (2011-2015) Thành phố Điện Biên Phủ</t>
  </si>
  <si>
    <t>Quy hoạch sử dụng đất đến năm 2020 và kế hoạch sử dụng đất 5 năm kỳ đầu (2011-2015) huyện Điện Biên.</t>
  </si>
  <si>
    <t>Quy hoạch sử dụng đất đến năm 2020 và kế hoạch sử dụng đất 5 năm kỳ đầu (2011-2015) huyện Mường Chà</t>
  </si>
  <si>
    <t>Quy hoạch sử dụng đất đến năm 2020 và kế hoạch sử dụng đất 5 năm kỳ đầu (2011-2015) huyện Mường Nhé</t>
  </si>
  <si>
    <t>Quy hoạch sử dụng đất đến năm 2020 và kế hoạch sử dụng đất 5 năm kỳ đầu (2011-2015) thị xã Mường Lay</t>
  </si>
  <si>
    <t>Quy hoạch sử dụng đất đến năm 2020 và kế hoạch sử dụng đất 5 năm kỳ đầu (2011-2015) huyện Điện Biên Đông</t>
  </si>
  <si>
    <t>Quy hoạch sử dụng đất đến năm 2020 và kế hoạch sử dụng đất 5 năm kỳ đầu (2011-2015) huyện Mường Ảng</t>
  </si>
  <si>
    <t>Quy hoạch sử dụng đất đến năm 2020 và kế hoạch sử dụng đất 5 năm kỳ đầu (2011-2015) huyện Tuần Giáo</t>
  </si>
  <si>
    <t>Quy hoạch sử dụng đất đến năm 2020 và kế hoạch sử dụng đất 5 năm kỳ đầu (2011-2015) huyện Tủa Chùa</t>
  </si>
  <si>
    <t>Quy hoạch sử dụng đất đến năm 2020 và kế hoạch sử dụng đất 5 năm kỳ đầu (2011-2015) huyện Nậm Pồ</t>
  </si>
  <si>
    <t>Quy hoạch phát triển vật liệu xây dựng đến năm 2020, tầm nhìn đến năm 2030</t>
  </si>
  <si>
    <t>Quy hoạch xây dựng phát triển đô thị mới phía đông thành phố Điện Biên phủ</t>
  </si>
  <si>
    <t xml:space="preserve"> - Vốn dân cư và Doanh nghiệp</t>
  </si>
  <si>
    <t xml:space="preserve"> + Vốn doanh nghiệp (cả DNNN)</t>
  </si>
  <si>
    <t>Chi khác</t>
  </si>
  <si>
    <t>TÌNH HÌNH THỰC HIỆN MỘT SỐ CHỈ TIÊU CHỦ YẾU KẾ HOẠCH PHÁT TRIỂN 
KINH TẾ - XÃ HỘI 5 NĂM 2011-2015</t>
  </si>
  <si>
    <t>Tốc độ tăng trưởng GRDP theo chỉ tiêu của Đại hội Đảng bộ tỉnh (giá so sánh 2010)</t>
  </si>
  <si>
    <t>KINH PHÍ XÂY DỰNG CÁC DỰ ÁN QUY HOẠCH ĐƯỢC CẤP CÓ THẨM QUYỀN PHÊ DUYỆT
 5 NĂM 2011 – 2015</t>
  </si>
  <si>
    <t xml:space="preserve">Tổng sản phẩm trên địa bàn tỉnh, thành phố trực thuộc Trung ương (GRDP) quy đổi theo Chỉ thị số 22/CT-TTg ngày 5/8/2014 của Thủ tướng CP (TCTK đã tính toán và công bố theo giá 2010) </t>
  </si>
  <si>
    <t>Tỷ số chết mẹ trên 100.000 trẻ đẻ sống</t>
  </si>
  <si>
    <t>TH 2014</t>
  </si>
  <si>
    <t>TH  2014</t>
  </si>
  <si>
    <t>-0,4</t>
  </si>
  <si>
    <t xml:space="preserve">Thu viện trợ không hoàn lại </t>
  </si>
  <si>
    <t>Chi trả nợ gốc, lãi vay đầu tư</t>
  </si>
  <si>
    <t>0,68%</t>
  </si>
  <si>
    <t>1,51%</t>
  </si>
  <si>
    <t>0,70%</t>
  </si>
  <si>
    <t>TỶ giá hối đoái (1000 VN đồng/USD)</t>
  </si>
  <si>
    <t>Thu bổ sung từ ngân sách cấp trên</t>
  </si>
  <si>
    <t>Năm 2015 chưa có số chi chuyển nguồn nên chi khác chỉ còn 1 tỷ tiền bổ sung quĩ dự trữ tài chính</t>
  </si>
  <si>
    <t>Số thu cân đối chưa có số thu tiền vay</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</si>
</sst>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_(* #,##0.0_);_(* \(#,##0.0\);_(* &quot;-&quot;??_);_(@_)"/>
    <numFmt numFmtId="175" formatCode="#,##0.0"/>
    <numFmt numFmtId="176" formatCode="#,##0.000"/>
    <numFmt numFmtId="177" formatCode="0.0"/>
    <numFmt numFmtId="178" formatCode="_(* #,##0_);_(* \(#,##0\);_(* &quot;-&quot;??_);_(@_)"/>
    <numFmt numFmtId="179" formatCode="0.000"/>
    <numFmt numFmtId="180" formatCode="#,##0\ &quot;€&quot;;[Red]\-#,##0\ &quot;€&quot;"/>
    <numFmt numFmtId="181" formatCode="&quot;\&quot;#,##0;[Red]&quot;\&quot;\-#,##0"/>
    <numFmt numFmtId="182" formatCode="&quot;\&quot;#,##0.00;[Red]&quot;\&quot;\-#,##0.00"/>
    <numFmt numFmtId="183" formatCode="\$#,##0\ ;\(\$#,##0\)"/>
    <numFmt numFmtId="184" formatCode="&quot;\&quot;#,##0;[Red]&quot;\&quot;&quot;\&quot;\-#,##0"/>
    <numFmt numFmtId="185" formatCode="&quot;\&quot;#,##0.00;[Red]&quot;\&quot;&quot;\&quot;&quot;\&quot;&quot;\&quot;&quot;\&quot;&quot;\&quot;\-#,##0.00"/>
    <numFmt numFmtId="186" formatCode="_-&quot;€&quot;* #,##0_-;\-&quot;€&quot;* #,##0_-;_-&quot;€&quot;* &quot;-&quot;_-;_-@_-"/>
    <numFmt numFmtId="187" formatCode="_-&quot;€&quot;* #,##0.00_-;\-&quot;€&quot;* #,##0.00_-;_-&quot;€&quot;* &quot;-&quot;??_-;_-@_-"/>
    <numFmt numFmtId="188" formatCode="&quot;VND&quot;#,##0_);[Red]\(&quot;VND&quot;#,##0\)"/>
    <numFmt numFmtId="189" formatCode="#,##0;\(#,##0\)"/>
    <numFmt numFmtId="190" formatCode="\t0.00%"/>
    <numFmt numFmtId="191" formatCode="\t#\ ??/??"/>
    <numFmt numFmtId="192" formatCode="m/d"/>
    <numFmt numFmtId="193" formatCode="&quot;ß&quot;#,##0;\-&quot;&quot;\ß&quot;&quot;#,##0"/>
    <numFmt numFmtId="194" formatCode="#,##0.00\ &quot;F&quot;;[Red]\-#,##0.00\ &quot;F&quot;"/>
    <numFmt numFmtId="195" formatCode="_-* #,##0\ &quot;F&quot;_-;\-* #,##0\ &quot;F&quot;_-;_-* &quot;-&quot;\ &quot;F&quot;_-;_-@_-"/>
    <numFmt numFmtId="196" formatCode="#,##0\ &quot;F&quot;;[Red]\-#,##0\ &quot;F&quot;"/>
    <numFmt numFmtId="197" formatCode="#,##0.00\ &quot;F&quot;;\-#,##0.00\ &quot;F&quot;"/>
    <numFmt numFmtId="198" formatCode="#,##0.00000000"/>
    <numFmt numFmtId="199" formatCode="0.0000"/>
    <numFmt numFmtId="200" formatCode="0.00_);\(0.00\)"/>
    <numFmt numFmtId="201" formatCode="#,##0.00;[Red]#,##0.00"/>
    <numFmt numFmtId="202" formatCode="_(* #,##0.000_);_(* \(#,##0.000\);_(* &quot;-&quot;??_);_(@_)"/>
    <numFmt numFmtId="203" formatCode="_(* #,##0.0000_);_(* \(#,##0.0000\);_(* &quot;-&quot;??_);_(@_)"/>
    <numFmt numFmtId="204" formatCode="#,##0.000000000000"/>
    <numFmt numFmtId="205" formatCode="_-* #,##0.0\ _₫_-;\-* #,##0.0\ _₫_-;_-* &quot;-&quot;?\ _₫_-;_-@_-"/>
    <numFmt numFmtId="206" formatCode="#,###"/>
    <numFmt numFmtId="207" formatCode="_(* #,##0.000000_);_(* \(#,##0.000000\);_(* &quot;-&quot;??_);_(@_)"/>
    <numFmt numFmtId="208" formatCode="_-* #,##0.00\ _₫_-;\-* #,##0.00\ _₫_-;_-* &quot;-&quot;?\ _₫_-;_-@_-"/>
    <numFmt numFmtId="209" formatCode="_-* #,##0.000\ _₫_-;\-* #,##0.000\ _₫_-;_-* &quot;-&quot;?\ _₫_-;_-@_-"/>
    <numFmt numFmtId="210" formatCode="_(* #,##0.0_);_(* \(#,##0.0\);_(* &quot;-&quot;?_);_(@_)"/>
    <numFmt numFmtId="211" formatCode="_(* #,##0.000000_);_(* \(#,##0.000000\);_(* &quot;-&quot;??????_);_(@_)"/>
    <numFmt numFmtId="212" formatCode="_(* #,##0.00000_);_(* \(#,##0.00000\);_(* &quot;-&quot;??_);_(@_)"/>
    <numFmt numFmtId="213" formatCode="_-* #,##0.000000\ _₫_-;\-* #,##0.000000\ _₫_-;_-* &quot;-&quot;??\ _₫_-;_-@_-"/>
    <numFmt numFmtId="214" formatCode="_-* #,##0.0000\ _₫_-;\-* #,##0.0000\ _₫_-;_-* &quot;-&quot;????\ _₫_-;_-@_-"/>
    <numFmt numFmtId="215" formatCode="_(* #,##0.0000000_);_(* \(#,##0.0000000\);_(* &quot;-&quot;??????_);_(@_)"/>
    <numFmt numFmtId="216" formatCode="_(* #,##0.000_);_(* \(#,##0.000\);_(* &quot;-&quot;???_);_(@_)"/>
    <numFmt numFmtId="217" formatCode="_-* #,##0.000\ _₫_-;\-* #,##0.000\ _₫_-;_-* &quot;-&quot;????\ _₫_-;_-@_-"/>
    <numFmt numFmtId="218" formatCode="_-* #,##0.0\ _₫_-;\-* #,##0.0\ _₫_-;_-* &quot;-&quot;????\ _₫_-;_-@_-"/>
    <numFmt numFmtId="219" formatCode="_(* #,##0.00_);_(* \(#,##0.00\);_(* &quot;-&quot;???_);_(@_)"/>
    <numFmt numFmtId="220" formatCode="#,##0;[Red]#,##0"/>
    <numFmt numFmtId="221" formatCode="#,##0.0000"/>
    <numFmt numFmtId="222" formatCode="#,##0.0;[Red]#,##0.0"/>
    <numFmt numFmtId="223" formatCode="#,##0.000;[Red]#,##0.000"/>
    <numFmt numFmtId="224" formatCode="0.0%"/>
    <numFmt numFmtId="225" formatCode="0.00000"/>
  </numFmts>
  <fonts count="164">
    <font>
      <sz val="10"/>
      <name val="Arial"/>
      <family val="0"/>
    </font>
    <font>
      <sz val="12"/>
      <color indexed="8"/>
      <name val=".VnTime"/>
      <family val="2"/>
    </font>
    <font>
      <b/>
      <i/>
      <sz val="12"/>
      <color indexed="8"/>
      <name val=".vntime"/>
      <family val="2"/>
    </font>
    <font>
      <b/>
      <sz val="12"/>
      <color indexed="8"/>
      <name val=".VnTimeH"/>
      <family val="2"/>
    </font>
    <font>
      <b/>
      <sz val="11"/>
      <name val=".VnTimeh"/>
      <family val="2"/>
    </font>
    <font>
      <b/>
      <sz val="11"/>
      <name val=".vntime"/>
      <family val="2"/>
    </font>
    <font>
      <b/>
      <sz val="12"/>
      <name val=".VnTime"/>
      <family val="2"/>
    </font>
    <font>
      <sz val="11"/>
      <name val=".VnTime"/>
      <family val="2"/>
    </font>
    <font>
      <sz val="12"/>
      <name val=".VnTime"/>
      <family val="2"/>
    </font>
    <font>
      <sz val="11"/>
      <name val="Times New Roman"/>
      <family val="1"/>
    </font>
    <font>
      <sz val="11"/>
      <color indexed="8"/>
      <name val=".VnTime"/>
      <family val="2"/>
    </font>
    <font>
      <sz val="8"/>
      <name val="Arial"/>
      <family val="2"/>
    </font>
    <font>
      <b/>
      <i/>
      <sz val="14"/>
      <color indexed="8"/>
      <name val=".VnTime"/>
      <family val="2"/>
    </font>
    <font>
      <b/>
      <sz val="12"/>
      <color indexed="8"/>
      <name val=".VnTime"/>
      <family val="2"/>
    </font>
    <font>
      <i/>
      <sz val="12"/>
      <color indexed="8"/>
      <name val=".VnTime"/>
      <family val="2"/>
    </font>
    <font>
      <b/>
      <i/>
      <sz val="16"/>
      <name val="Times New Roman"/>
      <family val="1"/>
    </font>
    <font>
      <b/>
      <sz val="13"/>
      <name val="Times New Roman"/>
      <family val="1"/>
    </font>
    <font>
      <b/>
      <sz val="8"/>
      <name val="Tahoma"/>
      <family val="2"/>
    </font>
    <font>
      <sz val="8"/>
      <name val="Tahoma"/>
      <family val="2"/>
    </font>
    <font>
      <sz val="10"/>
      <name val="Times New Roman"/>
      <family val="1"/>
    </font>
    <font>
      <sz val="13"/>
      <name val="Times New Roman"/>
      <family val="1"/>
    </font>
    <font>
      <sz val="12"/>
      <name val="Times New Roman"/>
      <family val="1"/>
    </font>
    <font>
      <sz val="12"/>
      <color indexed="8"/>
      <name val="Times New Roman"/>
      <family val="1"/>
    </font>
    <font>
      <b/>
      <i/>
      <sz val="11"/>
      <name val=".VnTime"/>
      <family val="2"/>
    </font>
    <font>
      <b/>
      <sz val="13"/>
      <color indexed="8"/>
      <name val=".VnTime"/>
      <family val="2"/>
    </font>
    <font>
      <sz val="13"/>
      <color indexed="8"/>
      <name val=".VnTime"/>
      <family val="2"/>
    </font>
    <font>
      <i/>
      <sz val="13"/>
      <color indexed="8"/>
      <name val=".VnTime"/>
      <family val="2"/>
    </font>
    <font>
      <b/>
      <i/>
      <sz val="13"/>
      <color indexed="8"/>
      <name val=".VnTime"/>
      <family val="2"/>
    </font>
    <font>
      <i/>
      <sz val="11"/>
      <color indexed="8"/>
      <name val=".VnTime"/>
      <family val="2"/>
    </font>
    <font>
      <b/>
      <sz val="10"/>
      <color indexed="8"/>
      <name val=".VnTimeH"/>
      <family val="2"/>
    </font>
    <font>
      <vertAlign val="superscript"/>
      <sz val="12"/>
      <name val="Times New Roman"/>
      <family val="1"/>
    </font>
    <font>
      <b/>
      <sz val="10"/>
      <color indexed="8"/>
      <name val=".VnTime"/>
      <family val="2"/>
    </font>
    <font>
      <u val="single"/>
      <sz val="12"/>
      <color indexed="36"/>
      <name val="Times New Roman"/>
      <family val="1"/>
    </font>
    <font>
      <u val="single"/>
      <sz val="12"/>
      <color indexed="12"/>
      <name val="Times New Roman"/>
      <family val="1"/>
    </font>
    <font>
      <sz val="8"/>
      <name val="Times New Roman"/>
      <family val="1"/>
    </font>
    <font>
      <b/>
      <i/>
      <sz val="14"/>
      <name val="Times New Roman"/>
      <family val="1"/>
    </font>
    <font>
      <b/>
      <sz val="15"/>
      <name val="Times New Roman"/>
      <family val="1"/>
    </font>
    <font>
      <b/>
      <i/>
      <sz val="13"/>
      <name val="Times New Roman"/>
      <family val="1"/>
    </font>
    <font>
      <b/>
      <u val="single"/>
      <sz val="13"/>
      <name val="Times New Roman"/>
      <family val="1"/>
    </font>
    <font>
      <sz val="14"/>
      <name val=".VnTimeH"/>
      <family val="2"/>
    </font>
    <font>
      <sz val="12"/>
      <name val="¹UAAA¼"/>
      <family val="3"/>
    </font>
    <font>
      <sz val="13"/>
      <name val=".VnTime"/>
      <family val="2"/>
    </font>
    <font>
      <b/>
      <sz val="12"/>
      <name val="Arial"/>
      <family val="2"/>
    </font>
    <font>
      <i/>
      <sz val="10"/>
      <name val=".VnTime"/>
      <family val="2"/>
    </font>
    <font>
      <b/>
      <sz val="10"/>
      <name val=".VnArial"/>
      <family val="2"/>
    </font>
    <font>
      <b/>
      <sz val="10"/>
      <name val=".VnTime"/>
      <family val="2"/>
    </font>
    <font>
      <sz val="12"/>
      <name val="Arial"/>
      <family val="2"/>
    </font>
    <font>
      <sz val="10"/>
      <name val="VNtimes new roman"/>
      <family val="1"/>
    </font>
    <font>
      <b/>
      <sz val="10"/>
      <name val=".VnTimeh"/>
      <family val="2"/>
    </font>
    <font>
      <sz val="14"/>
      <name val=".VnArial"/>
      <family val="2"/>
    </font>
    <font>
      <sz val="14"/>
      <name val="뼻뮝"/>
      <family val="3"/>
    </font>
    <font>
      <sz val="12"/>
      <name val="바탕체"/>
      <family val="3"/>
    </font>
    <font>
      <sz val="12"/>
      <name val="뼻뮝"/>
      <family val="1"/>
    </font>
    <font>
      <sz val="9"/>
      <name val="Arial"/>
      <family val="2"/>
    </font>
    <font>
      <sz val="10"/>
      <name val="굴림체"/>
      <family val="3"/>
    </font>
    <font>
      <sz val="12"/>
      <name val="Courier"/>
      <family val="3"/>
    </font>
    <font>
      <sz val="10"/>
      <name val=" "/>
      <family val="1"/>
    </font>
    <font>
      <b/>
      <sz val="10"/>
      <name val="Arial"/>
      <family val="2"/>
    </font>
    <font>
      <b/>
      <sz val="10"/>
      <color indexed="10"/>
      <name val="Arial"/>
      <family val="2"/>
    </font>
    <font>
      <sz val="15"/>
      <name val="Times New Roman"/>
      <family val="1"/>
    </font>
    <font>
      <i/>
      <sz val="12"/>
      <name val="Times New Roman"/>
      <family val="1"/>
    </font>
    <font>
      <b/>
      <sz val="12"/>
      <name val="Times New Roman"/>
      <family val="1"/>
    </font>
    <font>
      <i/>
      <sz val="11"/>
      <name val="Times New Roman"/>
      <family val="1"/>
    </font>
    <font>
      <b/>
      <i/>
      <sz val="12"/>
      <name val="Times New Roman"/>
      <family val="1"/>
    </font>
    <font>
      <sz val="10"/>
      <name val="Tahoma"/>
      <family val="2"/>
    </font>
    <font>
      <b/>
      <sz val="10"/>
      <name val="Tahoma"/>
      <family val="2"/>
    </font>
    <font>
      <b/>
      <sz val="14"/>
      <name val="Times New Roman"/>
      <family val="1"/>
    </font>
    <font>
      <i/>
      <sz val="14"/>
      <name val="Times New Roman"/>
      <family val="1"/>
    </font>
    <font>
      <i/>
      <vertAlign val="superscript"/>
      <sz val="12"/>
      <name val="Times New Roman"/>
      <family val="1"/>
    </font>
    <font>
      <b/>
      <sz val="18"/>
      <name val="Arial"/>
      <family val="2"/>
    </font>
    <font>
      <sz val="7"/>
      <name val="Small Fonts"/>
      <family val="2"/>
    </font>
    <font>
      <sz val="14"/>
      <name val="Times New Roman"/>
      <family val="1"/>
    </font>
    <font>
      <u val="single"/>
      <sz val="12"/>
      <name val="Times New Roman"/>
      <family val="1"/>
    </font>
    <font>
      <i/>
      <sz val="13"/>
      <name val="Times New Roman"/>
      <family val="1"/>
    </font>
    <font>
      <b/>
      <sz val="10"/>
      <name val="Times New Roman"/>
      <family val="1"/>
    </font>
    <font>
      <b/>
      <sz val="18"/>
      <name val="Times New Roman"/>
      <family val="1"/>
    </font>
    <font>
      <sz val="20"/>
      <color indexed="62"/>
      <name val="Tahoma"/>
      <family val="2"/>
    </font>
    <font>
      <sz val="14"/>
      <color indexed="8"/>
      <name val="Times New Roman"/>
      <family val="1"/>
    </font>
    <font>
      <sz val="13"/>
      <color indexed="8"/>
      <name val="Times New Roman"/>
      <family val="1"/>
    </font>
    <font>
      <b/>
      <sz val="13"/>
      <color indexed="8"/>
      <name val="Times New Roman"/>
      <family val="1"/>
    </font>
    <font>
      <i/>
      <sz val="13"/>
      <color indexed="8"/>
      <name val="Times New Roman"/>
      <family val="1"/>
    </font>
    <font>
      <b/>
      <sz val="16"/>
      <name val="Times New Roman"/>
      <family val="1"/>
    </font>
    <font>
      <sz val="12"/>
      <name val=".VnArial Narrow"/>
      <family val="2"/>
    </font>
    <font>
      <sz val="9"/>
      <name val="Tahoma"/>
      <family val="2"/>
    </font>
    <font>
      <i/>
      <sz val="12"/>
      <color indexed="8"/>
      <name val="Times New Roman"/>
      <family val="1"/>
    </font>
    <font>
      <b/>
      <sz val="12"/>
      <color indexed="8"/>
      <name val="Times New Roman"/>
      <family val="1"/>
    </font>
    <font>
      <sz val="11"/>
      <color indexed="8"/>
      <name val="Times New Roman"/>
      <family val="1"/>
    </font>
    <font>
      <b/>
      <sz val="9"/>
      <name val="Tahoma"/>
      <family val="2"/>
    </font>
    <font>
      <b/>
      <sz val="10"/>
      <color indexed="8"/>
      <name val="Times New Roman"/>
      <family val="1"/>
    </font>
    <font>
      <i/>
      <sz val="14"/>
      <color indexed="8"/>
      <name val="Times New Roman"/>
      <family val="1"/>
    </font>
    <font>
      <sz val="12"/>
      <color indexed="10"/>
      <name val="Times New Roman"/>
      <family val="1"/>
    </font>
    <font>
      <sz val="20"/>
      <color indexed="62"/>
      <name val="Times New Roman"/>
      <family val="1"/>
    </font>
    <font>
      <sz val="10"/>
      <color indexed="8"/>
      <name val="Times New Roman"/>
      <family val="1"/>
    </font>
    <font>
      <sz val="13"/>
      <name val="Arial"/>
      <family val="2"/>
    </font>
    <font>
      <sz val="13"/>
      <color indexed="12"/>
      <name val="Times New Roman"/>
      <family val="1"/>
    </font>
    <font>
      <sz val="10"/>
      <color indexed="8"/>
      <name val="MS Sans Serif"/>
      <family val="2"/>
    </font>
    <font>
      <i/>
      <sz val="13"/>
      <name val=".VnTime"/>
      <family val="2"/>
    </font>
    <font>
      <b/>
      <sz val="13"/>
      <color indexed="12"/>
      <name val="Times New Roman"/>
      <family val="1"/>
    </font>
    <font>
      <b/>
      <sz val="13"/>
      <name val="Arial"/>
      <family val="2"/>
    </font>
    <font>
      <u val="single"/>
      <sz val="13"/>
      <name val="Times New Roman"/>
      <family val="1"/>
    </font>
    <font>
      <b/>
      <vertAlign val="superscript"/>
      <sz val="12"/>
      <name val="Times New Roman"/>
      <family val="1"/>
    </font>
    <font>
      <sz val="14"/>
      <color indexed="62"/>
      <name val="Times New Roman"/>
      <family val="1"/>
    </font>
    <font>
      <b/>
      <sz val="12"/>
      <color indexed="62"/>
      <name val="Times New Roman"/>
      <family val="1"/>
    </font>
    <font>
      <b/>
      <sz val="12"/>
      <color indexed="10"/>
      <name val="Times New Roman"/>
      <family val="1"/>
    </font>
    <font>
      <b/>
      <sz val="12"/>
      <name val="Tahoma"/>
      <family val="2"/>
    </font>
    <font>
      <b/>
      <sz val="12"/>
      <name val=".VnArial NarrowH"/>
      <family val="2"/>
    </font>
    <font>
      <sz val="14"/>
      <color indexed="62"/>
      <name val="Tahoma"/>
      <family val="2"/>
    </font>
    <font>
      <sz val="14"/>
      <color indexed="36"/>
      <name val="Times New Roman"/>
      <family val="1"/>
    </font>
    <font>
      <sz val="14"/>
      <color indexed="10"/>
      <name val="Times New Roman"/>
      <family val="1"/>
    </font>
    <font>
      <sz val="14"/>
      <color indexed="12"/>
      <name val="Times New Roman"/>
      <family val="1"/>
    </font>
    <font>
      <sz val="13"/>
      <color indexed="30"/>
      <name val="Times New Roman"/>
      <family val="1"/>
    </font>
    <font>
      <sz val="12"/>
      <color indexed="30"/>
      <name val="Times New Roman"/>
      <family val="1"/>
    </font>
    <font>
      <b/>
      <sz val="14"/>
      <name val="Tahoma"/>
      <family val="2"/>
    </font>
    <font>
      <sz val="13"/>
      <name val="Tahoma"/>
      <family val="2"/>
    </font>
    <font>
      <sz val="12"/>
      <name val="Tahoma"/>
      <family val="2"/>
    </font>
    <font>
      <sz val="20"/>
      <name val="Tahoma"/>
      <family val="2"/>
    </font>
    <font>
      <sz val="12"/>
      <color indexed="12"/>
      <name val="Times New Roman"/>
      <family val="1"/>
    </font>
    <font>
      <b/>
      <sz val="12"/>
      <color indexed="12"/>
      <name val="Times New Roman"/>
      <family val="1"/>
    </font>
    <font>
      <sz val="10"/>
      <name val="Helv"/>
      <family val="2"/>
    </font>
    <font>
      <sz val="13"/>
      <color indexed="10"/>
      <name val="Times New Roman"/>
      <family val="1"/>
    </font>
    <font>
      <b/>
      <sz val="13"/>
      <color indexed="10"/>
      <name val="Times New Roman"/>
      <family val="1"/>
    </font>
    <font>
      <i/>
      <sz val="13"/>
      <color indexed="10"/>
      <name val="Times New Roman"/>
      <family val="1"/>
    </font>
    <font>
      <sz val="10"/>
      <name val=".VnTime"/>
      <family val="2"/>
    </font>
    <font>
      <b/>
      <sz val="13"/>
      <color indexed="30"/>
      <name val="Times New Roman"/>
      <family val="1"/>
    </font>
    <font>
      <i/>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FF0000"/>
      <name val="Times New Roman"/>
      <family val="1"/>
    </font>
    <font>
      <i/>
      <sz val="13"/>
      <color rgb="FFFF0000"/>
      <name val="Times New Roman"/>
      <family val="1"/>
    </font>
    <font>
      <b/>
      <sz val="13"/>
      <color rgb="FFFF0000"/>
      <name val="Times New Roman"/>
      <family val="1"/>
    </font>
    <font>
      <sz val="14"/>
      <color rgb="FFFF0000"/>
      <name val="Times New Roman"/>
      <family val="1"/>
    </font>
    <font>
      <b/>
      <sz val="8"/>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44"/>
        <bgColor indexed="64"/>
      </patternFill>
    </fill>
  </fills>
  <borders count="46">
    <border>
      <left/>
      <right/>
      <top/>
      <bottom/>
      <diagonal/>
    </border>
    <border>
      <left>
        <color indexed="63"/>
      </left>
      <right>
        <color indexed="63"/>
      </right>
      <top>
        <color indexed="63"/>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right style="thin"/>
      <top>
        <color indexed="63"/>
      </top>
      <bottom>
        <color indexed="6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hair"/>
      <bottom style="hair"/>
    </border>
    <border>
      <left>
        <color indexed="63"/>
      </left>
      <right>
        <color indexed="63"/>
      </right>
      <top style="thin">
        <color theme="4"/>
      </top>
      <bottom style="double">
        <color theme="4"/>
      </bottom>
    </border>
    <border>
      <left style="thin"/>
      <right style="thin"/>
      <top style="thin"/>
      <bottom style="hair"/>
    </border>
    <border>
      <left style="thin"/>
      <right style="thin"/>
      <top style="hair"/>
      <bottom style="thin"/>
    </border>
    <border>
      <left>
        <color indexed="63"/>
      </left>
      <right>
        <color indexed="63"/>
      </right>
      <top>
        <color indexed="63"/>
      </top>
      <bottom style="double"/>
    </border>
    <border>
      <left style="thin"/>
      <right style="thin"/>
      <top style="hair"/>
      <bottom style="double"/>
    </border>
    <border>
      <left style="thin"/>
      <right style="thin"/>
      <top>
        <color indexed="63"/>
      </top>
      <bottom style="hair"/>
    </border>
    <border>
      <left style="thin"/>
      <right style="thin"/>
      <top style="hair"/>
      <bottom>
        <color indexed="63"/>
      </bottom>
    </border>
    <border>
      <left>
        <color indexed="63"/>
      </left>
      <right style="thin"/>
      <top style="hair"/>
      <bottom style="hair"/>
    </border>
    <border>
      <left>
        <color indexed="63"/>
      </left>
      <right style="thin"/>
      <top>
        <color indexed="63"/>
      </top>
      <bottom style="hair"/>
    </border>
    <border>
      <left>
        <color indexed="63"/>
      </left>
      <right style="thin"/>
      <top style="hair"/>
      <bottom style="thin"/>
    </border>
    <border>
      <left style="thin"/>
      <right style="thin"/>
      <top style="thin"/>
      <bottom>
        <color indexed="63"/>
      </bottom>
    </border>
    <border>
      <left style="thin"/>
      <right>
        <color indexed="63"/>
      </right>
      <top style="hair"/>
      <bottom style="hair"/>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color indexed="63"/>
      </top>
      <bottom style="hair"/>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style="thin"/>
      <right>
        <color indexed="63"/>
      </right>
      <top style="hair"/>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medium"/>
      <top>
        <color indexed="63"/>
      </top>
      <bottom style="medium"/>
    </border>
    <border>
      <left>
        <color indexed="63"/>
      </left>
      <right>
        <color indexed="63"/>
      </right>
      <top style="hair"/>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1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0" borderId="0">
      <alignment/>
      <protection/>
    </xf>
    <xf numFmtId="0" fontId="95" fillId="0" borderId="0">
      <alignment/>
      <protection/>
    </xf>
    <xf numFmtId="0" fontId="142" fillId="2" borderId="0" applyNumberFormat="0" applyBorder="0" applyAlignment="0" applyProtection="0"/>
    <xf numFmtId="0" fontId="142" fillId="3" borderId="0" applyNumberFormat="0" applyBorder="0" applyAlignment="0" applyProtection="0"/>
    <xf numFmtId="0" fontId="142" fillId="4" borderId="0" applyNumberFormat="0" applyBorder="0" applyAlignment="0" applyProtection="0"/>
    <xf numFmtId="0" fontId="142" fillId="5" borderId="0" applyNumberFormat="0" applyBorder="0" applyAlignment="0" applyProtection="0"/>
    <xf numFmtId="0" fontId="142" fillId="6" borderId="0" applyNumberFormat="0" applyBorder="0" applyAlignment="0" applyProtection="0"/>
    <xf numFmtId="0" fontId="142" fillId="7" borderId="0" applyNumberFormat="0" applyBorder="0" applyAlignment="0" applyProtection="0"/>
    <xf numFmtId="0" fontId="142" fillId="8" borderId="0" applyNumberFormat="0" applyBorder="0" applyAlignment="0" applyProtection="0"/>
    <xf numFmtId="0" fontId="142" fillId="9" borderId="0" applyNumberFormat="0" applyBorder="0" applyAlignment="0" applyProtection="0"/>
    <xf numFmtId="0" fontId="142" fillId="10" borderId="0" applyNumberFormat="0" applyBorder="0" applyAlignment="0" applyProtection="0"/>
    <xf numFmtId="0" fontId="142" fillId="11" borderId="0" applyNumberFormat="0" applyBorder="0" applyAlignment="0" applyProtection="0"/>
    <xf numFmtId="0" fontId="142" fillId="12" borderId="0" applyNumberFormat="0" applyBorder="0" applyAlignment="0" applyProtection="0"/>
    <xf numFmtId="0" fontId="142" fillId="13" borderId="0" applyNumberFormat="0" applyBorder="0" applyAlignment="0" applyProtection="0"/>
    <xf numFmtId="178" fontId="39" fillId="0" borderId="1" applyNumberFormat="0" applyFont="0" applyBorder="0" applyAlignment="0">
      <protection/>
    </xf>
    <xf numFmtId="0" fontId="143" fillId="14" borderId="0" applyNumberFormat="0" applyBorder="0" applyAlignment="0" applyProtection="0"/>
    <xf numFmtId="0" fontId="143" fillId="15" borderId="0" applyNumberFormat="0" applyBorder="0" applyAlignment="0" applyProtection="0"/>
    <xf numFmtId="0" fontId="143" fillId="10" borderId="0" applyNumberFormat="0" applyBorder="0" applyAlignment="0" applyProtection="0"/>
    <xf numFmtId="0" fontId="143" fillId="16" borderId="0" applyNumberFormat="0" applyBorder="0" applyAlignment="0" applyProtection="0"/>
    <xf numFmtId="0" fontId="143" fillId="17" borderId="0" applyNumberFormat="0" applyBorder="0" applyAlignment="0" applyProtection="0"/>
    <xf numFmtId="0" fontId="143" fillId="18" borderId="0" applyNumberFormat="0" applyBorder="0" applyAlignment="0" applyProtection="0"/>
    <xf numFmtId="0" fontId="143" fillId="19" borderId="0" applyNumberFormat="0" applyBorder="0" applyAlignment="0" applyProtection="0"/>
    <xf numFmtId="0" fontId="143" fillId="20" borderId="0" applyNumberFormat="0" applyBorder="0" applyAlignment="0" applyProtection="0"/>
    <xf numFmtId="0" fontId="143" fillId="21" borderId="0" applyNumberFormat="0" applyBorder="0" applyAlignment="0" applyProtection="0"/>
    <xf numFmtId="0" fontId="143" fillId="22" borderId="0" applyNumberFormat="0" applyBorder="0" applyAlignment="0" applyProtection="0"/>
    <xf numFmtId="0" fontId="143" fillId="23" borderId="0" applyNumberFormat="0" applyBorder="0" applyAlignment="0" applyProtection="0"/>
    <xf numFmtId="0" fontId="143" fillId="24" borderId="0" applyNumberFormat="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144" fillId="25" borderId="0" applyNumberFormat="0" applyBorder="0" applyAlignment="0" applyProtection="0"/>
    <xf numFmtId="0" fontId="40" fillId="0" borderId="0">
      <alignment/>
      <protection/>
    </xf>
    <xf numFmtId="0" fontId="40" fillId="0" borderId="0">
      <alignment/>
      <protection/>
    </xf>
    <xf numFmtId="0" fontId="145" fillId="26" borderId="2" applyNumberFormat="0" applyAlignment="0" applyProtection="0"/>
    <xf numFmtId="0" fontId="146" fillId="2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122"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9" fontId="19" fillId="0" borderId="0">
      <alignment/>
      <protection/>
    </xf>
    <xf numFmtId="43" fontId="53"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3" fontId="0" fillId="0" borderId="0" applyFont="0" applyFill="0" applyBorder="0" applyAlignment="0" applyProtection="0"/>
    <xf numFmtId="190" fontId="0" fillId="0" borderId="0">
      <alignment/>
      <protection/>
    </xf>
    <xf numFmtId="0" fontId="0" fillId="0" borderId="0" applyFont="0" applyFill="0" applyBorder="0" applyAlignment="0" applyProtection="0"/>
    <xf numFmtId="191" fontId="0" fillId="0" borderId="0">
      <alignment/>
      <protection/>
    </xf>
    <xf numFmtId="0" fontId="147" fillId="0" borderId="0" applyNumberFormat="0" applyFill="0" applyBorder="0" applyAlignment="0" applyProtection="0"/>
    <xf numFmtId="2" fontId="0" fillId="0" borderId="0" applyFont="0" applyFill="0" applyBorder="0" applyAlignment="0" applyProtection="0"/>
    <xf numFmtId="0" fontId="32" fillId="0" borderId="0" applyNumberFormat="0" applyFill="0" applyBorder="0" applyAlignment="0" applyProtection="0"/>
    <xf numFmtId="0" fontId="148" fillId="28" borderId="0" applyNumberFormat="0" applyBorder="0" applyAlignment="0" applyProtection="0"/>
    <xf numFmtId="38" fontId="11" fillId="29" borderId="0" applyNumberFormat="0" applyBorder="0" applyAlignment="0" applyProtection="0"/>
    <xf numFmtId="0" fontId="42" fillId="0" borderId="4" applyNumberFormat="0" applyAlignment="0" applyProtection="0"/>
    <xf numFmtId="0" fontId="42" fillId="0" borderId="5">
      <alignment horizontal="left" vertical="center"/>
      <protection/>
    </xf>
    <xf numFmtId="0" fontId="149" fillId="0" borderId="6" applyNumberFormat="0" applyFill="0" applyAlignment="0" applyProtection="0"/>
    <xf numFmtId="0" fontId="150" fillId="0" borderId="7" applyNumberFormat="0" applyFill="0" applyAlignment="0" applyProtection="0"/>
    <xf numFmtId="0" fontId="151" fillId="0" borderId="8" applyNumberFormat="0" applyFill="0" applyAlignment="0" applyProtection="0"/>
    <xf numFmtId="0" fontId="151" fillId="0" borderId="0" applyNumberFormat="0" applyFill="0" applyBorder="0" applyAlignment="0" applyProtection="0"/>
    <xf numFmtId="0" fontId="69" fillId="0" borderId="0" applyProtection="0">
      <alignment/>
    </xf>
    <xf numFmtId="0" fontId="42" fillId="0" borderId="0" applyProtection="0">
      <alignment/>
    </xf>
    <xf numFmtId="0" fontId="33" fillId="0" borderId="0" applyNumberFormat="0" applyFill="0" applyBorder="0" applyAlignment="0" applyProtection="0"/>
    <xf numFmtId="0" fontId="152" fillId="30" borderId="2" applyNumberFormat="0" applyAlignment="0" applyProtection="0"/>
    <xf numFmtId="10" fontId="11" fillId="31" borderId="9" applyNumberFormat="0" applyBorder="0" applyAlignment="0" applyProtection="0"/>
    <xf numFmtId="0" fontId="153" fillId="0" borderId="10" applyNumberFormat="0" applyFill="0" applyAlignment="0" applyProtection="0"/>
    <xf numFmtId="3" fontId="43" fillId="0" borderId="11" applyNumberFormat="0" applyAlignment="0">
      <protection/>
    </xf>
    <xf numFmtId="3" fontId="44" fillId="0" borderId="11" applyNumberFormat="0" applyAlignment="0">
      <protection/>
    </xf>
    <xf numFmtId="3" fontId="45" fillId="0" borderId="11" applyNumberFormat="0" applyAlignment="0">
      <protection/>
    </xf>
    <xf numFmtId="192" fontId="0" fillId="0" borderId="0" applyFont="0" applyFill="0" applyBorder="0" applyAlignment="0" applyProtection="0"/>
    <xf numFmtId="193" fontId="0" fillId="0" borderId="0" applyFont="0" applyFill="0" applyBorder="0" applyAlignment="0" applyProtection="0"/>
    <xf numFmtId="0" fontId="46" fillId="0" borderId="0" applyNumberFormat="0" applyFont="0" applyFill="0" applyAlignment="0">
      <protection/>
    </xf>
    <xf numFmtId="0" fontId="154" fillId="32" borderId="0" applyNumberFormat="0" applyBorder="0" applyAlignment="0" applyProtection="0"/>
    <xf numFmtId="0" fontId="19" fillId="0" borderId="0">
      <alignment/>
      <protection/>
    </xf>
    <xf numFmtId="37" fontId="70" fillId="0" borderId="0">
      <alignment/>
      <protection/>
    </xf>
    <xf numFmtId="188" fontId="47" fillId="0" borderId="0">
      <alignment/>
      <protection/>
    </xf>
    <xf numFmtId="0" fontId="14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8" fillId="0" borderId="0">
      <alignment/>
      <protection/>
    </xf>
    <xf numFmtId="0" fontId="53" fillId="0" borderId="0">
      <alignment/>
      <protection/>
    </xf>
    <xf numFmtId="0" fontId="0" fillId="0" borderId="0">
      <alignment/>
      <protection/>
    </xf>
    <xf numFmtId="0" fontId="20" fillId="0" borderId="0">
      <alignment/>
      <protection/>
    </xf>
    <xf numFmtId="0" fontId="0" fillId="33" borderId="12" applyNumberFormat="0" applyFont="0" applyAlignment="0" applyProtection="0"/>
    <xf numFmtId="0" fontId="155" fillId="26" borderId="13" applyNumberFormat="0" applyAlignment="0" applyProtection="0"/>
    <xf numFmtId="9"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5" fillId="0" borderId="0">
      <alignment/>
      <protection/>
    </xf>
    <xf numFmtId="194" fontId="41" fillId="0" borderId="14">
      <alignment horizontal="right" vertical="center"/>
      <protection/>
    </xf>
    <xf numFmtId="195" fontId="41" fillId="0" borderId="14">
      <alignment horizontal="center"/>
      <protection/>
    </xf>
    <xf numFmtId="0" fontId="156" fillId="0" borderId="0" applyNumberFormat="0" applyFill="0" applyBorder="0" applyAlignment="0" applyProtection="0"/>
    <xf numFmtId="3" fontId="48" fillId="0" borderId="11" applyNumberFormat="0" applyAlignment="0">
      <protection/>
    </xf>
    <xf numFmtId="3" fontId="4" fillId="0" borderId="15" applyNumberFormat="0" applyAlignment="0">
      <protection/>
    </xf>
    <xf numFmtId="0" fontId="157" fillId="0" borderId="16" applyNumberFormat="0" applyFill="0" applyAlignment="0" applyProtection="0"/>
    <xf numFmtId="196" fontId="41" fillId="0" borderId="0">
      <alignment/>
      <protection/>
    </xf>
    <xf numFmtId="197" fontId="41" fillId="0" borderId="9">
      <alignment/>
      <protection/>
    </xf>
    <xf numFmtId="0" fontId="158" fillId="0" borderId="0" applyNumberFormat="0" applyFill="0" applyBorder="0" applyAlignment="0" applyProtection="0"/>
    <xf numFmtId="0" fontId="49" fillId="0" borderId="0" applyNumberFormat="0" applyFill="0" applyBorder="0" applyAlignment="0" applyProtection="0"/>
    <xf numFmtId="40" fontId="50" fillId="0" borderId="0" applyFont="0" applyFill="0" applyBorder="0" applyAlignment="0" applyProtection="0"/>
    <xf numFmtId="38"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9" fontId="51" fillId="0" borderId="0" applyFont="0" applyFill="0" applyBorder="0" applyAlignment="0" applyProtection="0"/>
    <xf numFmtId="0" fontId="52" fillId="0" borderId="0">
      <alignment/>
      <protection/>
    </xf>
    <xf numFmtId="0" fontId="46" fillId="0" borderId="0">
      <alignment/>
      <protection/>
    </xf>
    <xf numFmtId="172" fontId="53" fillId="0" borderId="0" applyFont="0" applyFill="0" applyBorder="0" applyAlignment="0" applyProtection="0"/>
    <xf numFmtId="173" fontId="53" fillId="0" borderId="0" applyFont="0" applyFill="0" applyBorder="0" applyAlignment="0" applyProtection="0"/>
    <xf numFmtId="184" fontId="0" fillId="0" borderId="0" applyFont="0" applyFill="0" applyBorder="0" applyAlignment="0" applyProtection="0"/>
    <xf numFmtId="185" fontId="0" fillId="0" borderId="0" applyFont="0" applyFill="0" applyBorder="0" applyAlignment="0" applyProtection="0"/>
    <xf numFmtId="182" fontId="51" fillId="0" borderId="0" applyFont="0" applyFill="0" applyBorder="0" applyAlignment="0" applyProtection="0"/>
    <xf numFmtId="181" fontId="51" fillId="0" borderId="0" applyFont="0" applyFill="0" applyBorder="0" applyAlignment="0" applyProtection="0"/>
    <xf numFmtId="0" fontId="54" fillId="0" borderId="0">
      <alignment/>
      <protection/>
    </xf>
    <xf numFmtId="186" fontId="53" fillId="0" borderId="0" applyFont="0" applyFill="0" applyBorder="0" applyAlignment="0" applyProtection="0"/>
    <xf numFmtId="180" fontId="55" fillId="0" borderId="0" applyFont="0" applyFill="0" applyBorder="0" applyAlignment="0" applyProtection="0"/>
    <xf numFmtId="187" fontId="53" fillId="0" borderId="0" applyFont="0" applyFill="0" applyBorder="0" applyAlignment="0" applyProtection="0"/>
    <xf numFmtId="0" fontId="56" fillId="0" borderId="0" applyFont="0" applyFill="0" applyBorder="0" applyAlignment="0" applyProtection="0"/>
    <xf numFmtId="0" fontId="56" fillId="0" borderId="0" applyFont="0" applyFill="0" applyBorder="0" applyAlignment="0" applyProtection="0"/>
    <xf numFmtId="0" fontId="21" fillId="0" borderId="0">
      <alignment vertical="center"/>
      <protection/>
    </xf>
  </cellStyleXfs>
  <cellXfs count="1375">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4" fillId="0" borderId="0" xfId="0" applyFont="1" applyAlignment="1">
      <alignment vertical="center"/>
    </xf>
    <xf numFmtId="0" fontId="8" fillId="0" borderId="0" xfId="0" applyFont="1" applyAlignment="1">
      <alignment vertical="center"/>
    </xf>
    <xf numFmtId="0" fontId="12" fillId="0" borderId="0" xfId="0" applyFont="1" applyAlignment="1">
      <alignment horizontal="right" vertical="center"/>
    </xf>
    <xf numFmtId="0" fontId="1" fillId="0" borderId="15" xfId="0" applyFont="1" applyBorder="1" applyAlignment="1">
      <alignment horizontal="center" vertical="center"/>
    </xf>
    <xf numFmtId="0" fontId="13" fillId="0" borderId="0" xfId="0" applyFont="1" applyAlignment="1">
      <alignment vertical="center"/>
    </xf>
    <xf numFmtId="174" fontId="1" fillId="0" borderId="15" xfId="51" applyNumberFormat="1" applyFont="1" applyBorder="1" applyAlignment="1">
      <alignment horizontal="center" vertical="center" wrapText="1"/>
    </xf>
    <xf numFmtId="0" fontId="14" fillId="0" borderId="15" xfId="0" applyFont="1" applyBorder="1" applyAlignment="1">
      <alignment horizontal="center" vertical="center"/>
    </xf>
    <xf numFmtId="0" fontId="14" fillId="0" borderId="15" xfId="0" applyFont="1" applyBorder="1" applyAlignment="1">
      <alignment vertical="center" wrapText="1"/>
    </xf>
    <xf numFmtId="175" fontId="14" fillId="0" borderId="15" xfId="51" applyNumberFormat="1" applyFont="1" applyBorder="1" applyAlignment="1">
      <alignment horizontal="center" vertical="center"/>
    </xf>
    <xf numFmtId="0" fontId="14" fillId="0" borderId="0" xfId="0" applyFont="1" applyAlignment="1">
      <alignment vertical="center"/>
    </xf>
    <xf numFmtId="0" fontId="13" fillId="0" borderId="15" xfId="0" applyFont="1" applyBorder="1" applyAlignment="1">
      <alignment horizontal="center" vertical="center"/>
    </xf>
    <xf numFmtId="0" fontId="13" fillId="0" borderId="15" xfId="0" applyFont="1" applyBorder="1" applyAlignment="1">
      <alignment vertical="center" wrapText="1"/>
    </xf>
    <xf numFmtId="175" fontId="1" fillId="0" borderId="15" xfId="51" applyNumberFormat="1" applyFont="1" applyBorder="1" applyAlignment="1">
      <alignment horizontal="center" vertical="center"/>
    </xf>
    <xf numFmtId="3" fontId="13" fillId="0" borderId="17" xfId="51" applyNumberFormat="1" applyFont="1" applyBorder="1" applyAlignment="1">
      <alignment horizontal="center" vertical="center"/>
    </xf>
    <xf numFmtId="3" fontId="1" fillId="0" borderId="15" xfId="51" applyNumberFormat="1" applyFont="1" applyBorder="1" applyAlignment="1">
      <alignment horizontal="center" vertical="center"/>
    </xf>
    <xf numFmtId="0" fontId="1" fillId="0" borderId="15" xfId="0" applyFont="1" applyBorder="1" applyAlignment="1">
      <alignment vertical="center"/>
    </xf>
    <xf numFmtId="0" fontId="1" fillId="0" borderId="0" xfId="0" applyFont="1" applyAlignment="1">
      <alignment vertical="center"/>
    </xf>
    <xf numFmtId="176" fontId="1" fillId="0" borderId="15" xfId="51" applyNumberFormat="1" applyFont="1" applyBorder="1" applyAlignment="1">
      <alignment horizontal="center" vertical="center"/>
    </xf>
    <xf numFmtId="0" fontId="1" fillId="0" borderId="15" xfId="0" applyFont="1" applyFill="1" applyBorder="1" applyAlignment="1">
      <alignment horizontal="center" vertical="center"/>
    </xf>
    <xf numFmtId="3" fontId="1" fillId="0" borderId="15" xfId="51" applyNumberFormat="1" applyFont="1" applyFill="1" applyBorder="1" applyAlignment="1">
      <alignment horizontal="center" vertical="center"/>
    </xf>
    <xf numFmtId="0" fontId="1" fillId="0" borderId="0" xfId="0" applyFont="1" applyFill="1" applyAlignment="1">
      <alignment vertical="center"/>
    </xf>
    <xf numFmtId="0" fontId="1" fillId="0" borderId="15" xfId="0" applyFont="1" applyBorder="1" applyAlignment="1" quotePrefix="1">
      <alignment vertical="center" wrapText="1"/>
    </xf>
    <xf numFmtId="0" fontId="1" fillId="0" borderId="0" xfId="0" applyFont="1" applyAlignment="1">
      <alignment horizontal="center" vertical="center"/>
    </xf>
    <xf numFmtId="3" fontId="14" fillId="0" borderId="15" xfId="51" applyNumberFormat="1" applyFont="1" applyBorder="1" applyAlignment="1">
      <alignment horizontal="center" vertical="center"/>
    </xf>
    <xf numFmtId="0" fontId="13" fillId="0" borderId="17" xfId="0" applyFont="1" applyBorder="1" applyAlignment="1">
      <alignment horizontal="center" vertical="center"/>
    </xf>
    <xf numFmtId="174" fontId="10" fillId="0" borderId="15" xfId="51" applyNumberFormat="1" applyFont="1" applyBorder="1" applyAlignment="1">
      <alignment horizontal="center" vertical="center" wrapText="1"/>
    </xf>
    <xf numFmtId="4" fontId="14" fillId="0" borderId="15" xfId="51" applyNumberFormat="1" applyFont="1" applyBorder="1" applyAlignment="1">
      <alignment horizontal="center" vertical="center"/>
    </xf>
    <xf numFmtId="0" fontId="13" fillId="0" borderId="17" xfId="0" applyFont="1" applyBorder="1" applyAlignment="1">
      <alignment horizontal="center" vertical="center" wrapText="1"/>
    </xf>
    <xf numFmtId="0" fontId="2" fillId="0" borderId="0" xfId="0" applyFont="1" applyAlignment="1">
      <alignment vertical="center"/>
    </xf>
    <xf numFmtId="0" fontId="1" fillId="0" borderId="18" xfId="0" applyFont="1" applyBorder="1" applyAlignment="1">
      <alignment vertical="center"/>
    </xf>
    <xf numFmtId="0" fontId="1" fillId="0" borderId="18" xfId="0" applyFont="1" applyBorder="1" applyAlignment="1">
      <alignment vertical="center" wrapText="1"/>
    </xf>
    <xf numFmtId="0" fontId="1" fillId="0" borderId="18" xfId="0" applyFont="1" applyBorder="1" applyAlignment="1">
      <alignment horizontal="center" vertical="center"/>
    </xf>
    <xf numFmtId="175" fontId="1" fillId="0" borderId="18" xfId="0" applyNumberFormat="1" applyFont="1" applyBorder="1" applyAlignment="1">
      <alignment horizontal="center" vertical="center"/>
    </xf>
    <xf numFmtId="0" fontId="19" fillId="0" borderId="0" xfId="0" applyFont="1" applyAlignment="1">
      <alignment vertical="center"/>
    </xf>
    <xf numFmtId="0" fontId="19" fillId="0" borderId="19" xfId="0" applyFont="1" applyBorder="1" applyAlignment="1">
      <alignment horizontal="center" vertical="center"/>
    </xf>
    <xf numFmtId="0" fontId="19" fillId="0" borderId="0" xfId="0" applyFont="1" applyFill="1" applyAlignment="1">
      <alignment vertical="center"/>
    </xf>
    <xf numFmtId="0" fontId="20" fillId="0" borderId="0" xfId="0" applyFont="1" applyAlignment="1">
      <alignment vertical="center"/>
    </xf>
    <xf numFmtId="0" fontId="20" fillId="0" borderId="20" xfId="0" applyFont="1" applyBorder="1" applyAlignment="1">
      <alignment vertical="center"/>
    </xf>
    <xf numFmtId="0" fontId="20" fillId="0" borderId="20" xfId="0" applyFont="1" applyFill="1" applyBorder="1" applyAlignment="1">
      <alignment vertical="center"/>
    </xf>
    <xf numFmtId="0" fontId="21" fillId="0" borderId="0" xfId="0" applyFont="1" applyAlignment="1">
      <alignment vertical="center"/>
    </xf>
    <xf numFmtId="0" fontId="21" fillId="0" borderId="21" xfId="0" applyFont="1" applyBorder="1" applyAlignment="1">
      <alignment horizontal="center" vertical="center" wrapText="1"/>
    </xf>
    <xf numFmtId="0" fontId="21" fillId="0" borderId="21" xfId="0" applyFont="1" applyBorder="1" applyAlignment="1">
      <alignment horizontal="left" vertical="center" wrapText="1"/>
    </xf>
    <xf numFmtId="0" fontId="21" fillId="0" borderId="21" xfId="0" applyFont="1" applyFill="1" applyBorder="1" applyAlignment="1">
      <alignment horizontal="center" vertical="center" wrapText="1"/>
    </xf>
    <xf numFmtId="0" fontId="21" fillId="0" borderId="15"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15" xfId="0" applyFont="1" applyFill="1" applyBorder="1" applyAlignment="1">
      <alignment horizontal="center" vertical="center" wrapText="1"/>
    </xf>
    <xf numFmtId="177" fontId="21" fillId="0" borderId="15" xfId="0" applyNumberFormat="1" applyFont="1" applyBorder="1" applyAlignment="1">
      <alignment horizontal="center" vertical="center" wrapText="1"/>
    </xf>
    <xf numFmtId="3" fontId="21" fillId="0" borderId="15" xfId="0" applyNumberFormat="1" applyFont="1" applyBorder="1" applyAlignment="1">
      <alignment horizontal="center" vertical="center" wrapText="1"/>
    </xf>
    <xf numFmtId="0" fontId="21" fillId="34" borderId="15" xfId="0" applyFont="1" applyFill="1" applyBorder="1" applyAlignment="1">
      <alignment horizontal="center" vertical="center" wrapText="1"/>
    </xf>
    <xf numFmtId="0" fontId="22" fillId="0" borderId="15" xfId="0" applyFont="1" applyBorder="1" applyAlignment="1">
      <alignment horizontal="center" vertical="center" wrapText="1"/>
    </xf>
    <xf numFmtId="0" fontId="2" fillId="0" borderId="15"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Fill="1" applyBorder="1" applyAlignment="1">
      <alignment horizontal="center" vertical="center"/>
    </xf>
    <xf numFmtId="0" fontId="21" fillId="0" borderId="9" xfId="0" applyFont="1" applyBorder="1" applyAlignment="1">
      <alignment horizontal="center" vertical="center" wrapText="1"/>
    </xf>
    <xf numFmtId="175" fontId="21" fillId="0" borderId="15" xfId="0" applyNumberFormat="1" applyFont="1" applyBorder="1" applyAlignment="1">
      <alignment horizontal="center" vertical="center" wrapText="1"/>
    </xf>
    <xf numFmtId="177" fontId="21" fillId="0" borderId="15" xfId="0" applyNumberFormat="1" applyFont="1" applyFill="1" applyBorder="1" applyAlignment="1">
      <alignment horizontal="center" vertical="center" wrapText="1"/>
    </xf>
    <xf numFmtId="0" fontId="21" fillId="0" borderId="15" xfId="0" applyFont="1" applyBorder="1" applyAlignment="1" quotePrefix="1">
      <alignment horizontal="center" vertical="center" wrapText="1"/>
    </xf>
    <xf numFmtId="3" fontId="1" fillId="0" borderId="0" xfId="0" applyNumberFormat="1" applyFont="1" applyAlignment="1">
      <alignment vertical="center"/>
    </xf>
    <xf numFmtId="0" fontId="1" fillId="0" borderId="22" xfId="0" applyFont="1" applyFill="1" applyBorder="1" applyAlignment="1">
      <alignment vertical="center"/>
    </xf>
    <xf numFmtId="4" fontId="21" fillId="0" borderId="15" xfId="0" applyNumberFormat="1" applyFont="1" applyFill="1" applyBorder="1" applyAlignment="1">
      <alignment horizontal="center" vertical="center" wrapText="1"/>
    </xf>
    <xf numFmtId="3" fontId="21" fillId="0" borderId="15" xfId="0" applyNumberFormat="1" applyFont="1" applyFill="1" applyBorder="1" applyAlignment="1">
      <alignment horizontal="center" vertical="center" wrapText="1"/>
    </xf>
    <xf numFmtId="2" fontId="21" fillId="0" borderId="15" xfId="0" applyNumberFormat="1" applyFont="1" applyFill="1" applyBorder="1" applyAlignment="1">
      <alignment horizontal="center" vertical="center" wrapText="1"/>
    </xf>
    <xf numFmtId="49" fontId="21" fillId="0" borderId="15" xfId="0" applyNumberFormat="1" applyFont="1" applyFill="1" applyBorder="1" applyAlignment="1">
      <alignment horizontal="center" vertical="center" wrapText="1"/>
    </xf>
    <xf numFmtId="175" fontId="21" fillId="0" borderId="15" xfId="0" applyNumberFormat="1" applyFont="1" applyFill="1" applyBorder="1" applyAlignment="1">
      <alignment horizontal="center" vertical="center" wrapText="1"/>
    </xf>
    <xf numFmtId="176" fontId="2" fillId="0" borderId="15" xfId="51" applyNumberFormat="1" applyFont="1" applyBorder="1" applyAlignment="1">
      <alignment horizontal="center" vertical="center"/>
    </xf>
    <xf numFmtId="176" fontId="2" fillId="0" borderId="15" xfId="51" applyNumberFormat="1" applyFont="1" applyFill="1" applyBorder="1" applyAlignment="1">
      <alignment horizontal="center" vertical="center"/>
    </xf>
    <xf numFmtId="176" fontId="13" fillId="0" borderId="15" xfId="51" applyNumberFormat="1" applyFont="1" applyBorder="1" applyAlignment="1">
      <alignment horizontal="center" vertical="center"/>
    </xf>
    <xf numFmtId="3" fontId="2" fillId="0" borderId="15" xfId="51" applyNumberFormat="1" applyFont="1" applyBorder="1" applyAlignment="1">
      <alignment horizontal="center" vertical="center"/>
    </xf>
    <xf numFmtId="176" fontId="1" fillId="0" borderId="15" xfId="51" applyNumberFormat="1" applyFont="1" applyFill="1" applyBorder="1" applyAlignment="1">
      <alignment horizontal="center" vertical="center"/>
    </xf>
    <xf numFmtId="0" fontId="14" fillId="0" borderId="15" xfId="0" applyFont="1" applyFill="1" applyBorder="1" applyAlignment="1" quotePrefix="1">
      <alignment vertical="center" wrapText="1"/>
    </xf>
    <xf numFmtId="0" fontId="14" fillId="0" borderId="22" xfId="0" applyFont="1" applyBorder="1" applyAlignment="1" quotePrefix="1">
      <alignment vertical="center" wrapText="1"/>
    </xf>
    <xf numFmtId="0" fontId="13" fillId="0" borderId="22" xfId="0" applyFont="1" applyFill="1" applyBorder="1" applyAlignment="1">
      <alignment horizontal="center" vertical="center"/>
    </xf>
    <xf numFmtId="0" fontId="13" fillId="0" borderId="22" xfId="0" applyFont="1" applyFill="1" applyBorder="1" applyAlignment="1">
      <alignment vertical="center" wrapText="1"/>
    </xf>
    <xf numFmtId="175" fontId="23" fillId="0" borderId="15" xfId="51" applyNumberFormat="1" applyFont="1" applyBorder="1" applyAlignment="1">
      <alignment horizontal="center" vertical="center"/>
    </xf>
    <xf numFmtId="3" fontId="2" fillId="0" borderId="15" xfId="51" applyNumberFormat="1" applyFont="1" applyFill="1" applyBorder="1" applyAlignment="1">
      <alignment horizontal="center" vertical="center"/>
    </xf>
    <xf numFmtId="9" fontId="1" fillId="0" borderId="18" xfId="121" applyFont="1" applyBorder="1" applyAlignment="1">
      <alignment horizontal="center" vertical="center"/>
    </xf>
    <xf numFmtId="10" fontId="1" fillId="0" borderId="0" xfId="121" applyNumberFormat="1" applyFont="1" applyAlignment="1">
      <alignment vertical="center"/>
    </xf>
    <xf numFmtId="0" fontId="24" fillId="0" borderId="15" xfId="0" applyFont="1" applyBorder="1" applyAlignment="1">
      <alignment horizontal="center" vertical="center"/>
    </xf>
    <xf numFmtId="0" fontId="25" fillId="0" borderId="15" xfId="0" applyFont="1" applyBorder="1" applyAlignment="1">
      <alignment horizontal="left" vertical="center" wrapText="1"/>
    </xf>
    <xf numFmtId="3" fontId="25" fillId="0" borderId="15" xfId="51" applyNumberFormat="1" applyFont="1" applyBorder="1" applyAlignment="1">
      <alignment horizontal="center" vertical="center"/>
    </xf>
    <xf numFmtId="176" fontId="24" fillId="0" borderId="15" xfId="51" applyNumberFormat="1" applyFont="1" applyBorder="1" applyAlignment="1">
      <alignment horizontal="center" vertical="center"/>
    </xf>
    <xf numFmtId="4" fontId="25" fillId="0" borderId="15" xfId="51" applyNumberFormat="1" applyFont="1" applyBorder="1" applyAlignment="1">
      <alignment horizontal="center" vertical="center"/>
    </xf>
    <xf numFmtId="0" fontId="25" fillId="0" borderId="15" xfId="0" applyFont="1" applyBorder="1" applyAlignment="1">
      <alignment horizontal="center" vertical="center"/>
    </xf>
    <xf numFmtId="0" fontId="24" fillId="0" borderId="0" xfId="0" applyFont="1" applyAlignment="1">
      <alignment vertical="center"/>
    </xf>
    <xf numFmtId="0" fontId="26" fillId="0" borderId="15" xfId="0" applyFont="1" applyBorder="1" applyAlignment="1" quotePrefix="1">
      <alignment horizontal="left" vertical="center" wrapText="1"/>
    </xf>
    <xf numFmtId="0" fontId="25" fillId="0" borderId="15" xfId="0" applyFont="1" applyBorder="1" applyAlignment="1" quotePrefix="1">
      <alignment horizontal="left" vertical="center" wrapText="1"/>
    </xf>
    <xf numFmtId="176" fontId="25" fillId="0" borderId="15" xfId="51" applyNumberFormat="1" applyFont="1" applyBorder="1" applyAlignment="1">
      <alignment horizontal="center" vertical="center"/>
    </xf>
    <xf numFmtId="0" fontId="25" fillId="0" borderId="0" xfId="0" applyFont="1" applyAlignment="1">
      <alignment vertical="center"/>
    </xf>
    <xf numFmtId="175" fontId="25" fillId="0" borderId="15" xfId="51" applyNumberFormat="1" applyFont="1" applyBorder="1" applyAlignment="1">
      <alignment horizontal="center" vertical="center"/>
    </xf>
    <xf numFmtId="0" fontId="2" fillId="0" borderId="15" xfId="0" applyFont="1" applyBorder="1" applyAlignment="1" quotePrefix="1">
      <alignment vertical="center" wrapText="1"/>
    </xf>
    <xf numFmtId="0" fontId="14" fillId="0" borderId="15" xfId="0" applyFont="1" applyBorder="1" applyAlignment="1">
      <alignment horizontal="left" vertical="center" wrapText="1"/>
    </xf>
    <xf numFmtId="176" fontId="14" fillId="0" borderId="15" xfId="51" applyNumberFormat="1" applyFont="1" applyBorder="1" applyAlignment="1">
      <alignment horizontal="center" vertical="center"/>
    </xf>
    <xf numFmtId="0" fontId="14" fillId="0" borderId="22" xfId="0" applyFont="1" applyBorder="1" applyAlignment="1">
      <alignment horizontal="center" vertical="center"/>
    </xf>
    <xf numFmtId="0" fontId="14" fillId="0" borderId="22" xfId="0" applyFont="1" applyBorder="1" applyAlignment="1">
      <alignment vertical="center"/>
    </xf>
    <xf numFmtId="176" fontId="14" fillId="0" borderId="15" xfId="51" applyNumberFormat="1" applyFont="1" applyFill="1" applyBorder="1" applyAlignment="1">
      <alignment horizontal="center" vertical="center"/>
    </xf>
    <xf numFmtId="177" fontId="21" fillId="34" borderId="15" xfId="0" applyNumberFormat="1" applyFont="1" applyFill="1" applyBorder="1" applyAlignment="1">
      <alignment horizontal="center" vertical="center" wrapText="1"/>
    </xf>
    <xf numFmtId="3" fontId="1" fillId="0" borderId="23" xfId="51" applyNumberFormat="1" applyFont="1" applyBorder="1" applyAlignment="1">
      <alignment horizontal="center" vertical="center"/>
    </xf>
    <xf numFmtId="176" fontId="2" fillId="0" borderId="24" xfId="51" applyNumberFormat="1" applyFont="1" applyFill="1" applyBorder="1" applyAlignment="1">
      <alignment horizontal="center" vertical="center"/>
    </xf>
    <xf numFmtId="175" fontId="25" fillId="0" borderId="23" xfId="51" applyNumberFormat="1" applyFont="1" applyBorder="1" applyAlignment="1">
      <alignment horizontal="center" vertical="center"/>
    </xf>
    <xf numFmtId="176" fontId="25" fillId="0" borderId="23" xfId="51" applyNumberFormat="1" applyFont="1" applyBorder="1" applyAlignment="1">
      <alignment horizontal="center" vertical="center"/>
    </xf>
    <xf numFmtId="176" fontId="2" fillId="0" borderId="23" xfId="51" applyNumberFormat="1" applyFont="1" applyFill="1" applyBorder="1" applyAlignment="1">
      <alignment horizontal="center" vertical="center"/>
    </xf>
    <xf numFmtId="4" fontId="25" fillId="0" borderId="23" xfId="51" applyNumberFormat="1" applyFont="1" applyBorder="1" applyAlignment="1">
      <alignment horizontal="center" vertical="center"/>
    </xf>
    <xf numFmtId="175" fontId="2" fillId="0" borderId="23" xfId="51" applyNumberFormat="1" applyFont="1" applyBorder="1" applyAlignment="1">
      <alignment horizontal="center" vertical="center"/>
    </xf>
    <xf numFmtId="4" fontId="14" fillId="0" borderId="23" xfId="51" applyNumberFormat="1" applyFont="1" applyBorder="1" applyAlignment="1">
      <alignment horizontal="center" vertical="center"/>
    </xf>
    <xf numFmtId="3" fontId="14" fillId="0" borderId="23" xfId="51" applyNumberFormat="1" applyFont="1" applyBorder="1" applyAlignment="1">
      <alignment horizontal="center" vertical="center"/>
    </xf>
    <xf numFmtId="175" fontId="1" fillId="0" borderId="23" xfId="51" applyNumberFormat="1" applyFont="1" applyBorder="1" applyAlignment="1">
      <alignment horizontal="center" vertical="center"/>
    </xf>
    <xf numFmtId="176" fontId="1" fillId="0" borderId="23" xfId="51" applyNumberFormat="1" applyFont="1" applyBorder="1" applyAlignment="1">
      <alignment horizontal="center" vertical="center"/>
    </xf>
    <xf numFmtId="175" fontId="14" fillId="0" borderId="23" xfId="51" applyNumberFormat="1" applyFont="1" applyBorder="1" applyAlignment="1">
      <alignment horizontal="center" vertical="center"/>
    </xf>
    <xf numFmtId="175" fontId="1" fillId="0" borderId="25" xfId="0" applyNumberFormat="1" applyFont="1" applyBorder="1" applyAlignment="1">
      <alignment horizontal="center" vertical="center"/>
    </xf>
    <xf numFmtId="176" fontId="27" fillId="0" borderId="23" xfId="51" applyNumberFormat="1" applyFont="1" applyBorder="1" applyAlignment="1">
      <alignment horizontal="center" vertical="center"/>
    </xf>
    <xf numFmtId="174" fontId="28" fillId="0" borderId="15" xfId="51" applyNumberFormat="1" applyFont="1" applyBorder="1" applyAlignment="1">
      <alignment horizontal="center" vertical="center" wrapText="1"/>
    </xf>
    <xf numFmtId="179" fontId="21" fillId="0" borderId="0" xfId="0" applyNumberFormat="1" applyFont="1" applyAlignment="1">
      <alignment vertical="center"/>
    </xf>
    <xf numFmtId="1" fontId="21" fillId="0" borderId="15" xfId="0" applyNumberFormat="1" applyFont="1" applyBorder="1" applyAlignment="1">
      <alignment horizontal="center" vertical="center" wrapText="1"/>
    </xf>
    <xf numFmtId="49" fontId="21" fillId="0" borderId="15" xfId="0" applyNumberFormat="1" applyFont="1" applyBorder="1" applyAlignment="1">
      <alignment horizontal="center" vertical="center" wrapText="1"/>
    </xf>
    <xf numFmtId="177" fontId="21" fillId="0" borderId="21" xfId="0" applyNumberFormat="1" applyFont="1" applyBorder="1" applyAlignment="1">
      <alignment horizontal="center" vertical="center" wrapText="1"/>
    </xf>
    <xf numFmtId="176" fontId="1" fillId="0" borderId="0" xfId="0" applyNumberFormat="1" applyFont="1" applyAlignment="1">
      <alignment vertical="center"/>
    </xf>
    <xf numFmtId="10" fontId="25" fillId="0" borderId="0" xfId="0" applyNumberFormat="1" applyFont="1" applyAlignment="1">
      <alignment vertical="center"/>
    </xf>
    <xf numFmtId="3" fontId="13" fillId="0" borderId="21" xfId="51" applyNumberFormat="1" applyFont="1" applyBorder="1" applyAlignment="1">
      <alignment horizontal="center" vertical="center"/>
    </xf>
    <xf numFmtId="175" fontId="23" fillId="0" borderId="23" xfId="51" applyNumberFormat="1" applyFont="1" applyBorder="1" applyAlignment="1">
      <alignment horizontal="center" vertical="center"/>
    </xf>
    <xf numFmtId="4" fontId="21" fillId="0" borderId="15" xfId="0" applyNumberFormat="1" applyFont="1" applyBorder="1" applyAlignment="1">
      <alignment horizontal="center" vertical="center" wrapText="1"/>
    </xf>
    <xf numFmtId="0" fontId="31" fillId="0" borderId="0" xfId="0" applyFont="1" applyAlignment="1">
      <alignment vertical="center" wrapText="1"/>
    </xf>
    <xf numFmtId="3" fontId="1" fillId="0" borderId="17" xfId="51" applyNumberFormat="1" applyFont="1" applyBorder="1" applyAlignment="1">
      <alignment horizontal="center" vertical="center" wrapText="1"/>
    </xf>
    <xf numFmtId="0" fontId="1" fillId="0" borderId="18" xfId="0" applyFont="1" applyBorder="1" applyAlignment="1">
      <alignment horizontal="center" vertical="center" wrapText="1"/>
    </xf>
    <xf numFmtId="0" fontId="0" fillId="0" borderId="9" xfId="0" applyBorder="1" applyAlignment="1">
      <alignment/>
    </xf>
    <xf numFmtId="0" fontId="148" fillId="28" borderId="9" xfId="73" applyBorder="1" applyAlignment="1">
      <alignment/>
    </xf>
    <xf numFmtId="0" fontId="144" fillId="25" borderId="9" xfId="46" applyBorder="1" applyAlignment="1">
      <alignment/>
    </xf>
    <xf numFmtId="0" fontId="10" fillId="0" borderId="9" xfId="0" applyFont="1" applyBorder="1" applyAlignment="1">
      <alignment vertical="center" wrapText="1"/>
    </xf>
    <xf numFmtId="0" fontId="5" fillId="0" borderId="9" xfId="0" applyFont="1" applyBorder="1" applyAlignment="1">
      <alignment vertical="center" wrapText="1"/>
    </xf>
    <xf numFmtId="9" fontId="0" fillId="0" borderId="9" xfId="0" applyNumberFormat="1" applyBorder="1" applyAlignment="1">
      <alignment/>
    </xf>
    <xf numFmtId="4" fontId="7" fillId="0" borderId="9" xfId="51" applyNumberFormat="1" applyFont="1" applyBorder="1" applyAlignment="1">
      <alignment horizontal="center" vertical="center"/>
    </xf>
    <xf numFmtId="0" fontId="0" fillId="0" borderId="0" xfId="0" applyFont="1" applyAlignment="1">
      <alignment/>
    </xf>
    <xf numFmtId="0" fontId="154" fillId="32" borderId="0" xfId="93" applyAlignment="1">
      <alignment/>
    </xf>
    <xf numFmtId="0" fontId="57" fillId="0" borderId="0" xfId="0" applyFont="1" applyAlignment="1">
      <alignment/>
    </xf>
    <xf numFmtId="0" fontId="58" fillId="0" borderId="0" xfId="0" applyFont="1" applyAlignment="1">
      <alignment/>
    </xf>
    <xf numFmtId="177" fontId="58" fillId="0" borderId="0" xfId="0" applyNumberFormat="1" applyFont="1" applyAlignment="1">
      <alignment/>
    </xf>
    <xf numFmtId="177" fontId="0" fillId="0" borderId="0" xfId="0" applyNumberFormat="1" applyAlignment="1">
      <alignment/>
    </xf>
    <xf numFmtId="0" fontId="16" fillId="0" borderId="0" xfId="118" applyFont="1" applyFill="1" applyBorder="1" applyAlignment="1">
      <alignment horizontal="center" vertical="center" wrapText="1"/>
      <protection/>
    </xf>
    <xf numFmtId="0" fontId="36" fillId="0" borderId="0" xfId="118" applyFont="1" applyFill="1" applyBorder="1" applyAlignment="1">
      <alignment horizontal="center" vertical="center" wrapText="1"/>
      <protection/>
    </xf>
    <xf numFmtId="0" fontId="16" fillId="0" borderId="9" xfId="118" applyFont="1" applyFill="1" applyBorder="1" applyAlignment="1">
      <alignment horizontal="center" vertical="center" wrapText="1"/>
      <protection/>
    </xf>
    <xf numFmtId="0" fontId="16" fillId="0" borderId="17" xfId="118" applyFont="1" applyFill="1" applyBorder="1" applyAlignment="1">
      <alignment vertical="center" wrapText="1"/>
      <protection/>
    </xf>
    <xf numFmtId="3" fontId="20" fillId="0" borderId="17" xfId="118" applyNumberFormat="1" applyFont="1" applyFill="1" applyBorder="1" applyAlignment="1">
      <alignment horizontal="center" vertical="center" wrapText="1"/>
      <protection/>
    </xf>
    <xf numFmtId="0" fontId="20" fillId="0" borderId="17" xfId="118" applyFont="1" applyFill="1" applyBorder="1" applyAlignment="1">
      <alignment horizontal="center" vertical="center" wrapText="1"/>
      <protection/>
    </xf>
    <xf numFmtId="3" fontId="20" fillId="0" borderId="17" xfId="118" applyNumberFormat="1" applyFont="1" applyFill="1" applyBorder="1" applyAlignment="1">
      <alignment horizontal="center" vertical="center"/>
      <protection/>
    </xf>
    <xf numFmtId="0" fontId="16" fillId="0" borderId="0" xfId="118" applyFont="1" applyFill="1" applyAlignment="1">
      <alignment vertical="center"/>
      <protection/>
    </xf>
    <xf numFmtId="3" fontId="20" fillId="0" borderId="15" xfId="118" applyNumberFormat="1" applyFont="1" applyFill="1" applyBorder="1" applyAlignment="1">
      <alignment horizontal="center" vertical="center" wrapText="1"/>
      <protection/>
    </xf>
    <xf numFmtId="0" fontId="16" fillId="0" borderId="15" xfId="118" applyFont="1" applyFill="1" applyBorder="1" applyAlignment="1">
      <alignment vertical="center" wrapText="1"/>
      <protection/>
    </xf>
    <xf numFmtId="0" fontId="16" fillId="0" borderId="15" xfId="118" applyFont="1" applyFill="1" applyBorder="1" applyAlignment="1">
      <alignment horizontal="center" vertical="center" wrapText="1"/>
      <protection/>
    </xf>
    <xf numFmtId="3" fontId="20" fillId="0" borderId="15" xfId="118" applyNumberFormat="1" applyFont="1" applyFill="1" applyBorder="1" applyAlignment="1">
      <alignment horizontal="center" vertical="center"/>
      <protection/>
    </xf>
    <xf numFmtId="0" fontId="38" fillId="0" borderId="15" xfId="118" applyFont="1" applyFill="1" applyBorder="1" applyAlignment="1">
      <alignment vertical="center" wrapText="1"/>
      <protection/>
    </xf>
    <xf numFmtId="0" fontId="38" fillId="0" borderId="15" xfId="118" applyFont="1" applyFill="1" applyBorder="1" applyAlignment="1">
      <alignment horizontal="center" vertical="center" wrapText="1"/>
      <protection/>
    </xf>
    <xf numFmtId="0" fontId="20" fillId="0" borderId="0" xfId="118" applyFont="1" applyFill="1">
      <alignment/>
      <protection/>
    </xf>
    <xf numFmtId="0" fontId="20" fillId="0" borderId="9" xfId="118" applyFont="1" applyFill="1" applyBorder="1" applyAlignment="1">
      <alignment horizontal="center" vertical="center" wrapText="1"/>
      <protection/>
    </xf>
    <xf numFmtId="0" fontId="20" fillId="0" borderId="15" xfId="118" applyFont="1" applyFill="1" applyBorder="1" applyAlignment="1">
      <alignment vertical="center" wrapText="1"/>
      <protection/>
    </xf>
    <xf numFmtId="0" fontId="20" fillId="0" borderId="15" xfId="118" applyFont="1" applyFill="1" applyBorder="1" applyAlignment="1">
      <alignment horizontal="center" vertical="center" wrapText="1"/>
      <protection/>
    </xf>
    <xf numFmtId="0" fontId="20" fillId="0" borderId="0" xfId="118" applyFont="1" applyFill="1" applyAlignment="1">
      <alignment vertical="center"/>
      <protection/>
    </xf>
    <xf numFmtId="3" fontId="59" fillId="0" borderId="15" xfId="118" applyNumberFormat="1" applyFont="1" applyFill="1" applyBorder="1" applyAlignment="1">
      <alignment horizontal="center" vertical="center"/>
      <protection/>
    </xf>
    <xf numFmtId="3" fontId="16" fillId="0" borderId="15" xfId="118" applyNumberFormat="1" applyFont="1" applyFill="1" applyBorder="1" applyAlignment="1">
      <alignment horizontal="center" vertical="center"/>
      <protection/>
    </xf>
    <xf numFmtId="0" fontId="20" fillId="0" borderId="18" xfId="118" applyFont="1" applyFill="1" applyBorder="1">
      <alignment/>
      <protection/>
    </xf>
    <xf numFmtId="0" fontId="6" fillId="0" borderId="9" xfId="0" applyFont="1" applyFill="1" applyBorder="1" applyAlignment="1">
      <alignment horizontal="center" vertical="center" wrapText="1"/>
    </xf>
    <xf numFmtId="0" fontId="20" fillId="35" borderId="26" xfId="118" applyFont="1" applyFill="1" applyBorder="1" applyAlignment="1">
      <alignment horizontal="center" vertical="center" wrapText="1"/>
      <protection/>
    </xf>
    <xf numFmtId="0" fontId="16" fillId="35" borderId="26" xfId="118" applyFont="1" applyFill="1" applyBorder="1" applyAlignment="1">
      <alignment horizontal="center" vertical="center" wrapText="1"/>
      <protection/>
    </xf>
    <xf numFmtId="0" fontId="6" fillId="35" borderId="26" xfId="0" applyFont="1" applyFill="1" applyBorder="1" applyAlignment="1">
      <alignment horizontal="center" vertical="center" wrapText="1"/>
    </xf>
    <xf numFmtId="0" fontId="20" fillId="35" borderId="0" xfId="118" applyFont="1" applyFill="1">
      <alignment/>
      <protection/>
    </xf>
    <xf numFmtId="0" fontId="38" fillId="0" borderId="18" xfId="118" applyFont="1" applyFill="1" applyBorder="1" applyAlignment="1">
      <alignment vertical="center" wrapText="1"/>
      <protection/>
    </xf>
    <xf numFmtId="3" fontId="20" fillId="0" borderId="18" xfId="118" applyNumberFormat="1" applyFont="1" applyFill="1" applyBorder="1" applyAlignment="1">
      <alignment horizontal="center" vertical="center"/>
      <protection/>
    </xf>
    <xf numFmtId="0" fontId="16" fillId="0" borderId="18" xfId="118" applyFont="1" applyFill="1" applyBorder="1" applyAlignment="1">
      <alignment horizontal="center" vertical="center" wrapText="1"/>
      <protection/>
    </xf>
    <xf numFmtId="3" fontId="16" fillId="0" borderId="18" xfId="118" applyNumberFormat="1" applyFont="1" applyFill="1" applyBorder="1" applyAlignment="1">
      <alignment horizontal="center" vertical="center"/>
      <protection/>
    </xf>
    <xf numFmtId="0" fontId="16" fillId="35" borderId="0" xfId="118" applyFont="1" applyFill="1">
      <alignment/>
      <protection/>
    </xf>
    <xf numFmtId="0" fontId="35" fillId="0" borderId="0" xfId="118" applyFont="1" applyFill="1" applyAlignment="1">
      <alignment horizontal="right" vertical="center"/>
      <protection/>
    </xf>
    <xf numFmtId="3" fontId="20" fillId="0" borderId="23" xfId="118" applyNumberFormat="1" applyFont="1" applyFill="1" applyBorder="1" applyAlignment="1">
      <alignment horizontal="center" vertical="center" wrapText="1"/>
      <protection/>
    </xf>
    <xf numFmtId="3" fontId="20" fillId="0" borderId="23" xfId="118" applyNumberFormat="1" applyFont="1" applyFill="1" applyBorder="1" applyAlignment="1">
      <alignment horizontal="center" vertical="center"/>
      <protection/>
    </xf>
    <xf numFmtId="0" fontId="16" fillId="35" borderId="11" xfId="118" applyFont="1" applyFill="1" applyBorder="1" applyAlignment="1">
      <alignment horizontal="center" vertical="center" wrapText="1"/>
      <protection/>
    </xf>
    <xf numFmtId="3" fontId="20" fillId="0" borderId="27" xfId="118" applyNumberFormat="1" applyFont="1" applyFill="1" applyBorder="1" applyAlignment="1">
      <alignment horizontal="center" vertical="center" wrapText="1"/>
      <protection/>
    </xf>
    <xf numFmtId="0" fontId="20" fillId="0" borderId="27" xfId="118" applyFont="1" applyFill="1" applyBorder="1" applyAlignment="1">
      <alignment horizontal="center" vertical="center" wrapText="1"/>
      <protection/>
    </xf>
    <xf numFmtId="3" fontId="20" fillId="0" borderId="27" xfId="118" applyNumberFormat="1" applyFont="1" applyFill="1" applyBorder="1" applyAlignment="1">
      <alignment horizontal="center" vertical="center"/>
      <protection/>
    </xf>
    <xf numFmtId="3" fontId="20" fillId="0" borderId="28" xfId="118" applyNumberFormat="1" applyFont="1" applyFill="1" applyBorder="1" applyAlignment="1">
      <alignment horizontal="center" vertical="center" wrapText="1"/>
      <protection/>
    </xf>
    <xf numFmtId="3" fontId="20" fillId="0" borderId="29" xfId="118" applyNumberFormat="1" applyFont="1" applyFill="1" applyBorder="1" applyAlignment="1">
      <alignment horizontal="center" vertical="center" wrapText="1"/>
      <protection/>
    </xf>
    <xf numFmtId="3" fontId="20" fillId="0" borderId="29" xfId="118" applyNumberFormat="1" applyFont="1" applyFill="1" applyBorder="1" applyAlignment="1">
      <alignment horizontal="center" vertical="center"/>
      <protection/>
    </xf>
    <xf numFmtId="3" fontId="20" fillId="0" borderId="30" xfId="118" applyNumberFormat="1" applyFont="1" applyFill="1" applyBorder="1" applyAlignment="1">
      <alignment horizontal="center" vertical="center"/>
      <protection/>
    </xf>
    <xf numFmtId="3" fontId="20" fillId="0" borderId="28" xfId="118" applyNumberFormat="1" applyFont="1" applyFill="1" applyBorder="1" applyAlignment="1">
      <alignment horizontal="center" vertical="center"/>
      <protection/>
    </xf>
    <xf numFmtId="0" fontId="6" fillId="35" borderId="11" xfId="0" applyFont="1" applyFill="1" applyBorder="1" applyAlignment="1">
      <alignment horizontal="center" vertical="center" wrapText="1"/>
    </xf>
    <xf numFmtId="3" fontId="20" fillId="0" borderId="31" xfId="118" applyNumberFormat="1" applyFont="1" applyFill="1" applyBorder="1" applyAlignment="1">
      <alignment horizontal="center" vertical="center"/>
      <protection/>
    </xf>
    <xf numFmtId="0" fontId="16" fillId="0" borderId="28" xfId="118" applyFont="1" applyFill="1" applyBorder="1" applyAlignment="1">
      <alignment horizontal="center" vertical="center"/>
      <protection/>
    </xf>
    <xf numFmtId="0" fontId="16" fillId="0" borderId="29" xfId="118" applyFont="1" applyFill="1" applyBorder="1" applyAlignment="1">
      <alignment horizontal="center" vertical="center"/>
      <protection/>
    </xf>
    <xf numFmtId="3" fontId="20" fillId="0" borderId="23" xfId="118" applyNumberFormat="1" applyFont="1" applyFill="1" applyBorder="1" applyAlignment="1">
      <alignment vertical="center"/>
      <protection/>
    </xf>
    <xf numFmtId="3" fontId="20" fillId="0" borderId="30" xfId="118" applyNumberFormat="1" applyFont="1" applyFill="1" applyBorder="1" applyAlignment="1">
      <alignment horizontal="center" vertical="center" wrapText="1"/>
      <protection/>
    </xf>
    <xf numFmtId="0" fontId="16" fillId="0" borderId="30" xfId="118" applyFont="1" applyFill="1" applyBorder="1" applyAlignment="1">
      <alignment horizontal="center" vertical="center"/>
      <protection/>
    </xf>
    <xf numFmtId="0" fontId="35" fillId="0" borderId="0" xfId="118" applyFont="1" applyFill="1" applyAlignment="1">
      <alignment vertical="center"/>
      <protection/>
    </xf>
    <xf numFmtId="3" fontId="20" fillId="0" borderId="32" xfId="118" applyNumberFormat="1" applyFont="1" applyFill="1" applyBorder="1" applyAlignment="1">
      <alignment horizontal="right" vertical="center"/>
      <protection/>
    </xf>
    <xf numFmtId="3" fontId="20" fillId="0" borderId="27" xfId="118" applyNumberFormat="1" applyFont="1" applyFill="1" applyBorder="1" applyAlignment="1">
      <alignment horizontal="right" vertical="center"/>
      <protection/>
    </xf>
    <xf numFmtId="3" fontId="20" fillId="0" borderId="32" xfId="118" applyNumberFormat="1" applyFont="1" applyFill="1" applyBorder="1" applyAlignment="1">
      <alignment horizontal="right" vertical="center" wrapText="1"/>
      <protection/>
    </xf>
    <xf numFmtId="3" fontId="20" fillId="0" borderId="27" xfId="118" applyNumberFormat="1" applyFont="1" applyFill="1" applyBorder="1" applyAlignment="1">
      <alignment horizontal="right" vertical="center" wrapText="1"/>
      <protection/>
    </xf>
    <xf numFmtId="3" fontId="20" fillId="0" borderId="33" xfId="118" applyNumberFormat="1" applyFont="1" applyFill="1" applyBorder="1" applyAlignment="1">
      <alignment horizontal="left" vertical="center" wrapText="1"/>
      <protection/>
    </xf>
    <xf numFmtId="3" fontId="20" fillId="0" borderId="23" xfId="118" applyNumberFormat="1" applyFont="1" applyFill="1" applyBorder="1" applyAlignment="1">
      <alignment horizontal="left" vertical="center" wrapText="1"/>
      <protection/>
    </xf>
    <xf numFmtId="3" fontId="20" fillId="0" borderId="33" xfId="118" applyNumberFormat="1" applyFont="1" applyFill="1" applyBorder="1" applyAlignment="1">
      <alignment horizontal="left" vertical="center"/>
      <protection/>
    </xf>
    <xf numFmtId="3" fontId="20" fillId="0" borderId="23" xfId="118" applyNumberFormat="1" applyFont="1" applyFill="1" applyBorder="1" applyAlignment="1">
      <alignment horizontal="left" vertical="center"/>
      <protection/>
    </xf>
    <xf numFmtId="3" fontId="20" fillId="0" borderId="25" xfId="118" applyNumberFormat="1" applyFont="1" applyFill="1" applyBorder="1" applyAlignment="1">
      <alignment horizontal="left" vertical="center"/>
      <protection/>
    </xf>
    <xf numFmtId="3" fontId="20" fillId="0" borderId="25" xfId="118" applyNumberFormat="1" applyFont="1" applyFill="1" applyBorder="1" applyAlignment="1">
      <alignment horizontal="left" vertical="center" wrapText="1"/>
      <protection/>
    </xf>
    <xf numFmtId="3" fontId="20" fillId="0" borderId="34" xfId="118" applyNumberFormat="1" applyFont="1" applyFill="1" applyBorder="1" applyAlignment="1">
      <alignment horizontal="right" vertical="center" wrapText="1"/>
      <protection/>
    </xf>
    <xf numFmtId="3" fontId="20" fillId="0" borderId="34" xfId="118" applyNumberFormat="1" applyFont="1" applyFill="1" applyBorder="1" applyAlignment="1">
      <alignment horizontal="right" vertical="center"/>
      <protection/>
    </xf>
    <xf numFmtId="0" fontId="66" fillId="34" borderId="0" xfId="106" applyFont="1" applyFill="1" applyAlignment="1">
      <alignment vertical="center" wrapText="1"/>
      <protection/>
    </xf>
    <xf numFmtId="0" fontId="21" fillId="34" borderId="0" xfId="106" applyFont="1" applyFill="1" applyAlignment="1">
      <alignment vertical="center" wrapText="1"/>
      <protection/>
    </xf>
    <xf numFmtId="0" fontId="21" fillId="34" borderId="0" xfId="106" applyFont="1" applyFill="1" applyAlignment="1">
      <alignment horizontal="center" vertical="center" wrapText="1"/>
      <protection/>
    </xf>
    <xf numFmtId="0" fontId="21" fillId="34" borderId="0" xfId="106" applyFont="1" applyFill="1" applyBorder="1" applyAlignment="1">
      <alignment vertical="center" wrapText="1"/>
      <protection/>
    </xf>
    <xf numFmtId="0" fontId="60" fillId="34" borderId="0" xfId="106" applyNumberFormat="1" applyFont="1" applyFill="1" applyBorder="1" applyAlignment="1">
      <alignment horizontal="right" vertical="center" wrapText="1"/>
      <protection/>
    </xf>
    <xf numFmtId="0" fontId="61" fillId="34" borderId="9" xfId="106" applyFont="1" applyFill="1" applyBorder="1" applyAlignment="1">
      <alignment horizontal="center" vertical="center" wrapText="1"/>
      <protection/>
    </xf>
    <xf numFmtId="0" fontId="61" fillId="34" borderId="9" xfId="106" applyNumberFormat="1" applyFont="1" applyFill="1" applyBorder="1" applyAlignment="1">
      <alignment horizontal="center" vertical="center" wrapText="1"/>
      <protection/>
    </xf>
    <xf numFmtId="0" fontId="61" fillId="34" borderId="0" xfId="106" applyFont="1" applyFill="1" applyAlignment="1">
      <alignment vertical="center" wrapText="1"/>
      <protection/>
    </xf>
    <xf numFmtId="0" fontId="61" fillId="34" borderId="21" xfId="106" applyFont="1" applyFill="1" applyBorder="1" applyAlignment="1">
      <alignment horizontal="center" vertical="center" wrapText="1"/>
      <protection/>
    </xf>
    <xf numFmtId="0" fontId="61" fillId="34" borderId="21" xfId="106" applyFont="1" applyFill="1" applyBorder="1" applyAlignment="1">
      <alignment vertical="center" wrapText="1"/>
      <protection/>
    </xf>
    <xf numFmtId="3" fontId="61" fillId="34" borderId="21" xfId="106" applyNumberFormat="1" applyFont="1" applyFill="1" applyBorder="1" applyAlignment="1">
      <alignment vertical="center" wrapText="1"/>
      <protection/>
    </xf>
    <xf numFmtId="0" fontId="21" fillId="34" borderId="15" xfId="106" applyFont="1" applyFill="1" applyBorder="1" applyAlignment="1">
      <alignment horizontal="center" vertical="center" wrapText="1"/>
      <protection/>
    </xf>
    <xf numFmtId="175" fontId="21" fillId="34" borderId="0" xfId="106" applyNumberFormat="1" applyFont="1" applyFill="1" applyAlignment="1">
      <alignment horizontal="left" vertical="center" wrapText="1"/>
      <protection/>
    </xf>
    <xf numFmtId="0" fontId="21" fillId="34" borderId="0" xfId="106" applyFont="1" applyFill="1" applyAlignment="1">
      <alignment horizontal="right" vertical="center" wrapText="1"/>
      <protection/>
    </xf>
    <xf numFmtId="0" fontId="21" fillId="34" borderId="0" xfId="106" applyFont="1" applyFill="1" applyAlignment="1">
      <alignment horizontal="left" vertical="center" wrapText="1"/>
      <protection/>
    </xf>
    <xf numFmtId="0" fontId="60" fillId="34" borderId="15" xfId="106" applyFont="1" applyFill="1" applyBorder="1" applyAlignment="1">
      <alignment horizontal="center" vertical="center" wrapText="1"/>
      <protection/>
    </xf>
    <xf numFmtId="0" fontId="60" fillId="34" borderId="0" xfId="106" applyFont="1" applyFill="1" applyAlignment="1">
      <alignment horizontal="left" vertical="center" wrapText="1"/>
      <protection/>
    </xf>
    <xf numFmtId="0" fontId="60" fillId="34" borderId="0" xfId="106" applyFont="1" applyFill="1" applyAlignment="1">
      <alignment horizontal="right" vertical="center" wrapText="1"/>
      <protection/>
    </xf>
    <xf numFmtId="0" fontId="60" fillId="34" borderId="0" xfId="106" applyFont="1" applyFill="1" applyAlignment="1">
      <alignment vertical="center" wrapText="1"/>
      <protection/>
    </xf>
    <xf numFmtId="0" fontId="9" fillId="34" borderId="15" xfId="106" applyFont="1" applyFill="1" applyBorder="1" applyAlignment="1">
      <alignment horizontal="center" vertical="center" wrapText="1"/>
      <protection/>
    </xf>
    <xf numFmtId="0" fontId="9" fillId="34" borderId="27" xfId="106" applyFont="1" applyFill="1" applyBorder="1" applyAlignment="1">
      <alignment horizontal="center" vertical="center" wrapText="1"/>
      <protection/>
    </xf>
    <xf numFmtId="0" fontId="9" fillId="34" borderId="23" xfId="106" applyNumberFormat="1" applyFont="1" applyFill="1" applyBorder="1" applyAlignment="1">
      <alignment vertical="center" wrapText="1"/>
      <protection/>
    </xf>
    <xf numFmtId="1" fontId="9" fillId="34" borderId="15" xfId="106" applyNumberFormat="1" applyFont="1" applyFill="1" applyBorder="1" applyAlignment="1">
      <alignment horizontal="right" vertical="center" wrapText="1"/>
      <protection/>
    </xf>
    <xf numFmtId="0" fontId="62" fillId="34" borderId="15" xfId="106" applyFont="1" applyFill="1" applyBorder="1" applyAlignment="1">
      <alignment horizontal="center" vertical="center" wrapText="1"/>
      <protection/>
    </xf>
    <xf numFmtId="0" fontId="62" fillId="34" borderId="27" xfId="106" applyFont="1" applyFill="1" applyBorder="1" applyAlignment="1">
      <alignment horizontal="center" vertical="center" wrapText="1"/>
      <protection/>
    </xf>
    <xf numFmtId="0" fontId="62" fillId="34" borderId="23" xfId="106" applyNumberFormat="1" applyFont="1" applyFill="1" applyBorder="1" applyAlignment="1">
      <alignment vertical="center" wrapText="1"/>
      <protection/>
    </xf>
    <xf numFmtId="1" fontId="21" fillId="34" borderId="0" xfId="106" applyNumberFormat="1" applyFont="1" applyFill="1" applyAlignment="1">
      <alignment vertical="center" wrapText="1"/>
      <protection/>
    </xf>
    <xf numFmtId="0" fontId="62" fillId="34" borderId="27" xfId="106" applyFont="1" applyFill="1" applyBorder="1" applyAlignment="1">
      <alignment horizontal="right" vertical="center" wrapText="1"/>
      <protection/>
    </xf>
    <xf numFmtId="0" fontId="9" fillId="34" borderId="27" xfId="106" applyFont="1" applyFill="1" applyBorder="1" applyAlignment="1">
      <alignment horizontal="right" vertical="center" wrapText="1"/>
      <protection/>
    </xf>
    <xf numFmtId="1" fontId="9" fillId="34" borderId="15" xfId="106" applyNumberFormat="1" applyFont="1" applyFill="1" applyBorder="1" applyAlignment="1">
      <alignment horizontal="left" vertical="center" wrapText="1"/>
      <protection/>
    </xf>
    <xf numFmtId="1" fontId="21" fillId="34" borderId="0" xfId="106" applyNumberFormat="1" applyFont="1" applyFill="1" applyAlignment="1">
      <alignment horizontal="left" vertical="center" wrapText="1"/>
      <protection/>
    </xf>
    <xf numFmtId="0" fontId="62" fillId="34" borderId="35" xfId="106" applyFont="1" applyFill="1" applyBorder="1" applyAlignment="1">
      <alignment horizontal="center" vertical="center" wrapText="1"/>
      <protection/>
    </xf>
    <xf numFmtId="3" fontId="9" fillId="34" borderId="15" xfId="106" applyNumberFormat="1" applyFont="1" applyFill="1" applyBorder="1" applyAlignment="1">
      <alignment horizontal="right" vertical="center" wrapText="1"/>
      <protection/>
    </xf>
    <xf numFmtId="0" fontId="21" fillId="34" borderId="34" xfId="106" applyFont="1" applyFill="1" applyBorder="1" applyAlignment="1">
      <alignment horizontal="center" vertical="center" wrapText="1"/>
      <protection/>
    </xf>
    <xf numFmtId="0" fontId="21" fillId="34" borderId="36" xfId="106" applyFont="1" applyFill="1" applyBorder="1" applyAlignment="1">
      <alignment horizontal="center" vertical="center" wrapText="1"/>
      <protection/>
    </xf>
    <xf numFmtId="0" fontId="21" fillId="34" borderId="25" xfId="106" applyFont="1" applyFill="1" applyBorder="1" applyAlignment="1">
      <alignment vertical="center" wrapText="1"/>
      <protection/>
    </xf>
    <xf numFmtId="177" fontId="21" fillId="34" borderId="18" xfId="106" applyNumberFormat="1" applyFont="1" applyFill="1" applyBorder="1" applyAlignment="1">
      <alignment vertical="center" wrapText="1"/>
      <protection/>
    </xf>
    <xf numFmtId="0" fontId="21" fillId="34" borderId="18" xfId="106" applyFont="1" applyFill="1" applyBorder="1" applyAlignment="1">
      <alignment vertical="center" wrapText="1"/>
      <protection/>
    </xf>
    <xf numFmtId="0" fontId="68" fillId="34" borderId="0" xfId="106" applyFont="1" applyFill="1" applyAlignment="1">
      <alignment vertical="center" wrapText="1"/>
      <protection/>
    </xf>
    <xf numFmtId="0" fontId="61" fillId="34" borderId="0" xfId="116" applyFont="1" applyFill="1" applyAlignment="1">
      <alignment horizontal="center" vertical="center"/>
      <protection/>
    </xf>
    <xf numFmtId="0" fontId="21" fillId="34" borderId="0" xfId="116" applyFont="1" applyFill="1" applyAlignment="1">
      <alignment vertical="center"/>
      <protection/>
    </xf>
    <xf numFmtId="0" fontId="61" fillId="34" borderId="0" xfId="116" applyFont="1" applyFill="1" applyAlignment="1">
      <alignment horizontal="center" vertical="center" wrapText="1"/>
      <protection/>
    </xf>
    <xf numFmtId="175" fontId="61" fillId="34" borderId="0" xfId="116" applyNumberFormat="1" applyFont="1" applyFill="1" applyAlignment="1">
      <alignment horizontal="center" vertical="center"/>
      <protection/>
    </xf>
    <xf numFmtId="174" fontId="61" fillId="34" borderId="0" xfId="53" applyNumberFormat="1" applyFont="1" applyFill="1" applyAlignment="1">
      <alignment horizontal="center" vertical="center"/>
    </xf>
    <xf numFmtId="0" fontId="21" fillId="34" borderId="1" xfId="116" applyFont="1" applyFill="1" applyBorder="1" applyAlignment="1">
      <alignment horizontal="center" vertical="center"/>
      <protection/>
    </xf>
    <xf numFmtId="49" fontId="21" fillId="34" borderId="1" xfId="116" applyNumberFormat="1" applyFont="1" applyFill="1" applyBorder="1" applyAlignment="1">
      <alignment vertical="center" wrapText="1"/>
      <protection/>
    </xf>
    <xf numFmtId="175" fontId="21" fillId="34" borderId="0" xfId="116" applyNumberFormat="1" applyFont="1" applyFill="1" applyAlignment="1">
      <alignment vertical="center" wrapText="1"/>
      <protection/>
    </xf>
    <xf numFmtId="49" fontId="21" fillId="34" borderId="0" xfId="116" applyNumberFormat="1" applyFont="1" applyFill="1" applyAlignment="1">
      <alignment vertical="center" wrapText="1"/>
      <protection/>
    </xf>
    <xf numFmtId="43" fontId="21" fillId="34" borderId="0" xfId="62" applyFont="1" applyFill="1" applyAlignment="1">
      <alignment vertical="center"/>
    </xf>
    <xf numFmtId="174" fontId="21" fillId="34" borderId="0" xfId="53" applyNumberFormat="1" applyFont="1" applyFill="1" applyAlignment="1">
      <alignment vertical="center"/>
    </xf>
    <xf numFmtId="0" fontId="61" fillId="34" borderId="9" xfId="116" applyFont="1" applyFill="1" applyBorder="1" applyAlignment="1">
      <alignment horizontal="center" vertical="center" wrapText="1"/>
      <protection/>
    </xf>
    <xf numFmtId="49" fontId="61" fillId="34" borderId="9" xfId="116" applyNumberFormat="1" applyFont="1" applyFill="1" applyBorder="1" applyAlignment="1">
      <alignment horizontal="center" vertical="center" wrapText="1"/>
      <protection/>
    </xf>
    <xf numFmtId="175" fontId="61" fillId="34" borderId="9" xfId="116" applyNumberFormat="1" applyFont="1" applyFill="1" applyBorder="1" applyAlignment="1">
      <alignment horizontal="center" vertical="center" wrapText="1"/>
      <protection/>
    </xf>
    <xf numFmtId="1" fontId="61" fillId="34" borderId="9" xfId="116" applyNumberFormat="1" applyFont="1" applyFill="1" applyBorder="1" applyAlignment="1">
      <alignment horizontal="center" vertical="center" wrapText="1"/>
      <protection/>
    </xf>
    <xf numFmtId="1" fontId="61" fillId="34" borderId="9" xfId="62" applyNumberFormat="1" applyFont="1" applyFill="1" applyBorder="1" applyAlignment="1">
      <alignment horizontal="center" vertical="center" wrapText="1"/>
    </xf>
    <xf numFmtId="1" fontId="61" fillId="34" borderId="9" xfId="53" applyNumberFormat="1" applyFont="1" applyFill="1" applyBorder="1" applyAlignment="1">
      <alignment horizontal="center" vertical="center" wrapText="1"/>
    </xf>
    <xf numFmtId="1" fontId="61" fillId="34" borderId="0" xfId="53" applyNumberFormat="1" applyFont="1" applyFill="1" applyBorder="1" applyAlignment="1">
      <alignment horizontal="center" vertical="center" wrapText="1"/>
    </xf>
    <xf numFmtId="0" fontId="61" fillId="34" borderId="0" xfId="116" applyFont="1" applyFill="1" applyAlignment="1">
      <alignment vertical="center" wrapText="1"/>
      <protection/>
    </xf>
    <xf numFmtId="0" fontId="61" fillId="34" borderId="21" xfId="116" applyFont="1" applyFill="1" applyBorder="1" applyAlignment="1">
      <alignment horizontal="center" vertical="center"/>
      <protection/>
    </xf>
    <xf numFmtId="49" fontId="61" fillId="34" borderId="21" xfId="116" applyNumberFormat="1" applyFont="1" applyFill="1" applyBorder="1" applyAlignment="1">
      <alignment horizontal="center" vertical="center" wrapText="1"/>
      <protection/>
    </xf>
    <xf numFmtId="175" fontId="61" fillId="34" borderId="21" xfId="116" applyNumberFormat="1" applyFont="1" applyFill="1" applyBorder="1" applyAlignment="1">
      <alignment horizontal="center" vertical="center" wrapText="1"/>
      <protection/>
    </xf>
    <xf numFmtId="175" fontId="61" fillId="34" borderId="21" xfId="62" applyNumberFormat="1" applyFont="1" applyFill="1" applyBorder="1" applyAlignment="1">
      <alignment vertical="center"/>
    </xf>
    <xf numFmtId="174" fontId="61" fillId="34" borderId="21" xfId="62" applyNumberFormat="1" applyFont="1" applyFill="1" applyBorder="1" applyAlignment="1">
      <alignment vertical="center"/>
    </xf>
    <xf numFmtId="178" fontId="61" fillId="34" borderId="21" xfId="53" applyNumberFormat="1" applyFont="1" applyFill="1" applyBorder="1" applyAlignment="1">
      <alignment vertical="center"/>
    </xf>
    <xf numFmtId="178" fontId="61" fillId="34" borderId="0" xfId="53" applyNumberFormat="1" applyFont="1" applyFill="1" applyBorder="1" applyAlignment="1">
      <alignment vertical="center"/>
    </xf>
    <xf numFmtId="0" fontId="61" fillId="34" borderId="0" xfId="116" applyFont="1" applyFill="1" applyAlignment="1">
      <alignment vertical="center"/>
      <protection/>
    </xf>
    <xf numFmtId="3" fontId="61" fillId="34" borderId="0" xfId="116" applyNumberFormat="1" applyFont="1" applyFill="1" applyAlignment="1">
      <alignment vertical="center"/>
      <protection/>
    </xf>
    <xf numFmtId="0" fontId="61" fillId="34" borderId="15" xfId="116" applyFont="1" applyFill="1" applyBorder="1" applyAlignment="1">
      <alignment horizontal="center" vertical="center"/>
      <protection/>
    </xf>
    <xf numFmtId="49" fontId="61" fillId="34" borderId="15" xfId="116" applyNumberFormat="1" applyFont="1" applyFill="1" applyBorder="1" applyAlignment="1">
      <alignment horizontal="right" vertical="center" wrapText="1"/>
      <protection/>
    </xf>
    <xf numFmtId="175" fontId="61" fillId="34" borderId="15" xfId="116" applyNumberFormat="1" applyFont="1" applyFill="1" applyBorder="1" applyAlignment="1">
      <alignment vertical="center" wrapText="1"/>
      <protection/>
    </xf>
    <xf numFmtId="175" fontId="61" fillId="34" borderId="15" xfId="62" applyNumberFormat="1" applyFont="1" applyFill="1" applyBorder="1" applyAlignment="1">
      <alignment horizontal="left" vertical="center"/>
    </xf>
    <xf numFmtId="175" fontId="61" fillId="34" borderId="15" xfId="62" applyNumberFormat="1" applyFont="1" applyFill="1" applyBorder="1" applyAlignment="1">
      <alignment vertical="center"/>
    </xf>
    <xf numFmtId="174" fontId="61" fillId="34" borderId="15" xfId="62" applyNumberFormat="1" applyFont="1" applyFill="1" applyBorder="1" applyAlignment="1">
      <alignment vertical="center"/>
    </xf>
    <xf numFmtId="174" fontId="61" fillId="34" borderId="15" xfId="53" applyNumberFormat="1" applyFont="1" applyFill="1" applyBorder="1" applyAlignment="1">
      <alignment vertical="center"/>
    </xf>
    <xf numFmtId="174" fontId="61" fillId="34" borderId="0" xfId="53" applyNumberFormat="1" applyFont="1" applyFill="1" applyBorder="1" applyAlignment="1">
      <alignment vertical="center"/>
    </xf>
    <xf numFmtId="0" fontId="42" fillId="34" borderId="0" xfId="116" applyFont="1" applyFill="1" applyAlignment="1">
      <alignment horizontal="right" vertical="center"/>
      <protection/>
    </xf>
    <xf numFmtId="0" fontId="42" fillId="34" borderId="0" xfId="116" applyFont="1" applyFill="1" applyAlignment="1">
      <alignment vertical="center"/>
      <protection/>
    </xf>
    <xf numFmtId="0" fontId="42" fillId="34" borderId="0" xfId="116" applyFont="1" applyFill="1" applyAlignment="1">
      <alignment horizontal="left" vertical="center"/>
      <protection/>
    </xf>
    <xf numFmtId="0" fontId="21" fillId="34" borderId="15" xfId="116" applyFont="1" applyFill="1" applyBorder="1" applyAlignment="1">
      <alignment horizontal="center" vertical="center"/>
      <protection/>
    </xf>
    <xf numFmtId="49" fontId="21" fillId="34" borderId="15" xfId="116" applyNumberFormat="1" applyFont="1" applyFill="1" applyBorder="1" applyAlignment="1">
      <alignment horizontal="right" vertical="center" wrapText="1"/>
      <protection/>
    </xf>
    <xf numFmtId="175" fontId="21" fillId="34" borderId="15" xfId="116" applyNumberFormat="1" applyFont="1" applyFill="1" applyBorder="1" applyAlignment="1">
      <alignment vertical="center" wrapText="1"/>
      <protection/>
    </xf>
    <xf numFmtId="175" fontId="21" fillId="34" borderId="15" xfId="62" applyNumberFormat="1" applyFont="1" applyFill="1" applyBorder="1" applyAlignment="1">
      <alignment horizontal="left" vertical="center"/>
    </xf>
    <xf numFmtId="175" fontId="21" fillId="34" borderId="15" xfId="62" applyNumberFormat="1" applyFont="1" applyFill="1" applyBorder="1" applyAlignment="1">
      <alignment vertical="center"/>
    </xf>
    <xf numFmtId="174" fontId="21" fillId="34" borderId="15" xfId="62" applyNumberFormat="1" applyFont="1" applyFill="1" applyBorder="1" applyAlignment="1">
      <alignment vertical="center"/>
    </xf>
    <xf numFmtId="174" fontId="21" fillId="34" borderId="15" xfId="53" applyNumberFormat="1" applyFont="1" applyFill="1" applyBorder="1" applyAlignment="1">
      <alignment vertical="center"/>
    </xf>
    <xf numFmtId="174" fontId="21" fillId="34" borderId="0" xfId="53" applyNumberFormat="1" applyFont="1" applyFill="1" applyBorder="1" applyAlignment="1">
      <alignment vertical="center"/>
    </xf>
    <xf numFmtId="0" fontId="21" fillId="34" borderId="0" xfId="116" applyFont="1" applyFill="1" applyAlignment="1">
      <alignment horizontal="right" vertical="center"/>
      <protection/>
    </xf>
    <xf numFmtId="0" fontId="21" fillId="34" borderId="0" xfId="116" applyFont="1" applyFill="1" applyAlignment="1">
      <alignment horizontal="left" vertical="center"/>
      <protection/>
    </xf>
    <xf numFmtId="49" fontId="21" fillId="34" borderId="15" xfId="116" applyNumberFormat="1" applyFont="1" applyFill="1" applyBorder="1" applyAlignment="1">
      <alignment vertical="center" wrapText="1"/>
      <protection/>
    </xf>
    <xf numFmtId="49" fontId="21" fillId="34" borderId="15" xfId="116" applyNumberFormat="1" applyFont="1" applyFill="1" applyBorder="1" applyAlignment="1" quotePrefix="1">
      <alignment vertical="center" wrapText="1"/>
      <protection/>
    </xf>
    <xf numFmtId="175" fontId="21" fillId="34" borderId="15" xfId="116" applyNumberFormat="1" applyFont="1" applyFill="1" applyBorder="1" applyAlignment="1" quotePrefix="1">
      <alignment vertical="center" wrapText="1"/>
      <protection/>
    </xf>
    <xf numFmtId="49" fontId="9" fillId="34" borderId="15" xfId="116" applyNumberFormat="1" applyFont="1" applyFill="1" applyBorder="1" applyAlignment="1" quotePrefix="1">
      <alignment vertical="center" wrapText="1"/>
      <protection/>
    </xf>
    <xf numFmtId="175" fontId="9" fillId="34" borderId="15" xfId="116" applyNumberFormat="1" applyFont="1" applyFill="1" applyBorder="1" applyAlignment="1" quotePrefix="1">
      <alignment vertical="center" wrapText="1"/>
      <protection/>
    </xf>
    <xf numFmtId="49" fontId="61" fillId="34" borderId="15" xfId="116" applyNumberFormat="1" applyFont="1" applyFill="1" applyBorder="1" applyAlignment="1">
      <alignment vertical="center" wrapText="1"/>
      <protection/>
    </xf>
    <xf numFmtId="198" fontId="61" fillId="34" borderId="15" xfId="116" applyNumberFormat="1" applyFont="1" applyFill="1" applyBorder="1" applyAlignment="1">
      <alignment vertical="center" wrapText="1"/>
      <protection/>
    </xf>
    <xf numFmtId="3" fontId="61" fillId="34" borderId="15" xfId="116" applyNumberFormat="1" applyFont="1" applyFill="1" applyBorder="1" applyAlignment="1">
      <alignment vertical="center" wrapText="1"/>
      <protection/>
    </xf>
    <xf numFmtId="0" fontId="60" fillId="34" borderId="15" xfId="116" applyFont="1" applyFill="1" applyBorder="1" applyAlignment="1">
      <alignment horizontal="center" vertical="center"/>
      <protection/>
    </xf>
    <xf numFmtId="49" fontId="60" fillId="34" borderId="15" xfId="116" applyNumberFormat="1" applyFont="1" applyFill="1" applyBorder="1" applyAlignment="1">
      <alignment horizontal="right" vertical="center" wrapText="1"/>
      <protection/>
    </xf>
    <xf numFmtId="175" fontId="60" fillId="34" borderId="15" xfId="116" applyNumberFormat="1" applyFont="1" applyFill="1" applyBorder="1" applyAlignment="1">
      <alignment vertical="center" wrapText="1"/>
      <protection/>
    </xf>
    <xf numFmtId="175" fontId="60" fillId="34" borderId="15" xfId="116" applyNumberFormat="1" applyFont="1" applyFill="1" applyBorder="1" applyAlignment="1">
      <alignment horizontal="left" vertical="center" wrapText="1"/>
      <protection/>
    </xf>
    <xf numFmtId="174" fontId="60" fillId="34" borderId="0" xfId="53" applyNumberFormat="1" applyFont="1" applyFill="1" applyBorder="1" applyAlignment="1">
      <alignment horizontal="center" vertical="center"/>
    </xf>
    <xf numFmtId="0" fontId="60" fillId="34" borderId="0" xfId="116" applyFont="1" applyFill="1" applyAlignment="1">
      <alignment horizontal="right" vertical="center"/>
      <protection/>
    </xf>
    <xf numFmtId="0" fontId="60" fillId="34" borderId="0" xfId="116" applyFont="1" applyFill="1" applyAlignment="1">
      <alignment vertical="center"/>
      <protection/>
    </xf>
    <xf numFmtId="0" fontId="60" fillId="34" borderId="0" xfId="116" applyFont="1" applyFill="1" applyAlignment="1">
      <alignment horizontal="left" vertical="center"/>
      <protection/>
    </xf>
    <xf numFmtId="3" fontId="21" fillId="34" borderId="15" xfId="62" applyNumberFormat="1" applyFont="1" applyFill="1" applyBorder="1" applyAlignment="1">
      <alignment vertical="center"/>
    </xf>
    <xf numFmtId="3" fontId="21" fillId="34" borderId="15" xfId="62" applyNumberFormat="1" applyFont="1" applyFill="1" applyBorder="1" applyAlignment="1">
      <alignment horizontal="left" vertical="center"/>
    </xf>
    <xf numFmtId="174" fontId="21" fillId="34" borderId="0" xfId="53" applyNumberFormat="1" applyFont="1" applyFill="1" applyBorder="1" applyAlignment="1">
      <alignment horizontal="center" vertical="center"/>
    </xf>
    <xf numFmtId="175" fontId="60" fillId="34" borderId="15" xfId="62" applyNumberFormat="1" applyFont="1" applyFill="1" applyBorder="1" applyAlignment="1">
      <alignment vertical="center"/>
    </xf>
    <xf numFmtId="174" fontId="60" fillId="34" borderId="0" xfId="53" applyNumberFormat="1" applyFont="1" applyFill="1" applyBorder="1" applyAlignment="1">
      <alignment vertical="center"/>
    </xf>
    <xf numFmtId="49" fontId="60" fillId="34" borderId="15" xfId="116" applyNumberFormat="1" applyFont="1" applyFill="1" applyBorder="1" applyAlignment="1">
      <alignment vertical="center" wrapText="1"/>
      <protection/>
    </xf>
    <xf numFmtId="3" fontId="61" fillId="34" borderId="15" xfId="62" applyNumberFormat="1" applyFont="1" applyFill="1" applyBorder="1" applyAlignment="1">
      <alignment vertical="center"/>
    </xf>
    <xf numFmtId="0" fontId="61" fillId="34" borderId="22" xfId="116" applyFont="1" applyFill="1" applyBorder="1" applyAlignment="1">
      <alignment horizontal="center" vertical="center"/>
      <protection/>
    </xf>
    <xf numFmtId="49" fontId="61" fillId="34" borderId="22" xfId="116" applyNumberFormat="1" applyFont="1" applyFill="1" applyBorder="1" applyAlignment="1">
      <alignment vertical="center" wrapText="1"/>
      <protection/>
    </xf>
    <xf numFmtId="175" fontId="61" fillId="34" borderId="22" xfId="116" applyNumberFormat="1" applyFont="1" applyFill="1" applyBorder="1" applyAlignment="1">
      <alignment vertical="center" wrapText="1"/>
      <protection/>
    </xf>
    <xf numFmtId="175" fontId="61" fillId="34" borderId="22" xfId="62" applyNumberFormat="1" applyFont="1" applyFill="1" applyBorder="1" applyAlignment="1">
      <alignment vertical="center"/>
    </xf>
    <xf numFmtId="174" fontId="61" fillId="34" borderId="22" xfId="62" applyNumberFormat="1" applyFont="1" applyFill="1" applyBorder="1" applyAlignment="1">
      <alignment vertical="center"/>
    </xf>
    <xf numFmtId="174" fontId="61" fillId="34" borderId="22" xfId="53" applyNumberFormat="1" applyFont="1" applyFill="1" applyBorder="1" applyAlignment="1">
      <alignment vertical="center"/>
    </xf>
    <xf numFmtId="0" fontId="21" fillId="34" borderId="21" xfId="116" applyFont="1" applyFill="1" applyBorder="1" applyAlignment="1">
      <alignment horizontal="center" vertical="center"/>
      <protection/>
    </xf>
    <xf numFmtId="49" fontId="21" fillId="34" borderId="21" xfId="116" applyNumberFormat="1" applyFont="1" applyFill="1" applyBorder="1" applyAlignment="1">
      <alignment vertical="center" wrapText="1"/>
      <protection/>
    </xf>
    <xf numFmtId="175" fontId="21" fillId="34" borderId="21" xfId="116" applyNumberFormat="1" applyFont="1" applyFill="1" applyBorder="1" applyAlignment="1">
      <alignment vertical="center" wrapText="1"/>
      <protection/>
    </xf>
    <xf numFmtId="175" fontId="42" fillId="34" borderId="21" xfId="62" applyNumberFormat="1" applyFont="1" applyFill="1" applyBorder="1" applyAlignment="1">
      <alignment vertical="center"/>
    </xf>
    <xf numFmtId="175" fontId="21" fillId="34" borderId="21" xfId="62" applyNumberFormat="1" applyFont="1" applyFill="1" applyBorder="1" applyAlignment="1">
      <alignment vertical="center"/>
    </xf>
    <xf numFmtId="174" fontId="21" fillId="34" borderId="21" xfId="62" applyNumberFormat="1" applyFont="1" applyFill="1" applyBorder="1" applyAlignment="1">
      <alignment vertical="center"/>
    </xf>
    <xf numFmtId="174" fontId="21" fillId="34" borderId="21" xfId="53" applyNumberFormat="1" applyFont="1" applyFill="1" applyBorder="1" applyAlignment="1">
      <alignment vertical="center"/>
    </xf>
    <xf numFmtId="0" fontId="21" fillId="34" borderId="18" xfId="116" applyFont="1" applyFill="1" applyBorder="1" applyAlignment="1">
      <alignment horizontal="center" vertical="center"/>
      <protection/>
    </xf>
    <xf numFmtId="49" fontId="21" fillId="34" borderId="18" xfId="116" applyNumberFormat="1" applyFont="1" applyFill="1" applyBorder="1" applyAlignment="1">
      <alignment vertical="center" wrapText="1"/>
      <protection/>
    </xf>
    <xf numFmtId="175" fontId="21" fillId="34" borderId="18" xfId="116" applyNumberFormat="1" applyFont="1" applyFill="1" applyBorder="1" applyAlignment="1">
      <alignment vertical="center" wrapText="1"/>
      <protection/>
    </xf>
    <xf numFmtId="3" fontId="21" fillId="34" borderId="18" xfId="62" applyNumberFormat="1" applyFont="1" applyFill="1" applyBorder="1" applyAlignment="1">
      <alignment vertical="center"/>
    </xf>
    <xf numFmtId="174" fontId="21" fillId="34" borderId="18" xfId="62" applyNumberFormat="1" applyFont="1" applyFill="1" applyBorder="1" applyAlignment="1">
      <alignment vertical="center"/>
    </xf>
    <xf numFmtId="174" fontId="21" fillId="34" borderId="18" xfId="53" applyNumberFormat="1" applyFont="1" applyFill="1" applyBorder="1" applyAlignment="1">
      <alignment vertical="center"/>
    </xf>
    <xf numFmtId="0" fontId="21" fillId="34" borderId="0" xfId="116" applyFont="1" applyFill="1" applyAlignment="1">
      <alignment horizontal="center" vertical="center"/>
      <protection/>
    </xf>
    <xf numFmtId="174" fontId="21" fillId="34" borderId="0" xfId="62" applyNumberFormat="1" applyFont="1" applyFill="1" applyAlignment="1">
      <alignment vertical="center"/>
    </xf>
    <xf numFmtId="0" fontId="72" fillId="34" borderId="0" xfId="116" applyFont="1" applyFill="1" applyAlignment="1">
      <alignment horizontal="center" vertical="center"/>
      <protection/>
    </xf>
    <xf numFmtId="49" fontId="21" fillId="34" borderId="0" xfId="116" applyNumberFormat="1" applyFont="1" applyFill="1" applyAlignment="1">
      <alignment horizontal="left" vertical="center"/>
      <protection/>
    </xf>
    <xf numFmtId="175" fontId="21" fillId="34" borderId="0" xfId="116" applyNumberFormat="1" applyFont="1" applyFill="1" applyAlignment="1">
      <alignment horizontal="left" vertical="center"/>
      <protection/>
    </xf>
    <xf numFmtId="4" fontId="21" fillId="34" borderId="0" xfId="116" applyNumberFormat="1" applyFont="1" applyFill="1" applyAlignment="1">
      <alignment horizontal="left" vertical="center"/>
      <protection/>
    </xf>
    <xf numFmtId="174" fontId="21" fillId="34" borderId="0" xfId="116" applyNumberFormat="1" applyFont="1" applyFill="1" applyAlignment="1">
      <alignment horizontal="left" vertical="center"/>
      <protection/>
    </xf>
    <xf numFmtId="174" fontId="21" fillId="34" borderId="0" xfId="53" applyNumberFormat="1" applyFont="1" applyFill="1" applyAlignment="1">
      <alignment horizontal="left" vertical="center"/>
    </xf>
    <xf numFmtId="3" fontId="61" fillId="34" borderId="15" xfId="106" applyNumberFormat="1" applyFont="1" applyFill="1" applyBorder="1" applyAlignment="1">
      <alignment horizontal="right" vertical="center" wrapText="1"/>
      <protection/>
    </xf>
    <xf numFmtId="1" fontId="61" fillId="34" borderId="15" xfId="106" applyNumberFormat="1" applyFont="1" applyFill="1" applyBorder="1" applyAlignment="1">
      <alignment horizontal="left" vertical="center" wrapText="1"/>
      <protection/>
    </xf>
    <xf numFmtId="1" fontId="61" fillId="34" borderId="15" xfId="106" applyNumberFormat="1" applyFont="1" applyFill="1" applyBorder="1" applyAlignment="1">
      <alignment horizontal="right" vertical="center" wrapText="1"/>
      <protection/>
    </xf>
    <xf numFmtId="175" fontId="61" fillId="34" borderId="15" xfId="106" applyNumberFormat="1" applyFont="1" applyFill="1" applyBorder="1" applyAlignment="1">
      <alignment horizontal="right" vertical="center" wrapText="1"/>
      <protection/>
    </xf>
    <xf numFmtId="175" fontId="61" fillId="34" borderId="15" xfId="106" applyNumberFormat="1" applyFont="1" applyFill="1" applyBorder="1" applyAlignment="1">
      <alignment horizontal="left" vertical="center" wrapText="1"/>
      <protection/>
    </xf>
    <xf numFmtId="1" fontId="21" fillId="34" borderId="15" xfId="106" applyNumberFormat="1" applyFont="1" applyFill="1" applyBorder="1" applyAlignment="1">
      <alignment horizontal="left" vertical="center" wrapText="1"/>
      <protection/>
    </xf>
    <xf numFmtId="1" fontId="21" fillId="34" borderId="15" xfId="106" applyNumberFormat="1" applyFont="1" applyFill="1" applyBorder="1" applyAlignment="1">
      <alignment horizontal="right" vertical="center" wrapText="1"/>
      <protection/>
    </xf>
    <xf numFmtId="3" fontId="21" fillId="34" borderId="15" xfId="106" applyNumberFormat="1" applyFont="1" applyFill="1" applyBorder="1" applyAlignment="1">
      <alignment horizontal="right" vertical="center" wrapText="1"/>
      <protection/>
    </xf>
    <xf numFmtId="3" fontId="21" fillId="34" borderId="15" xfId="106" applyNumberFormat="1" applyFont="1" applyFill="1" applyBorder="1" applyAlignment="1">
      <alignment horizontal="left" vertical="center" wrapText="1"/>
      <protection/>
    </xf>
    <xf numFmtId="1" fontId="60" fillId="34" borderId="15" xfId="106" applyNumberFormat="1" applyFont="1" applyFill="1" applyBorder="1" applyAlignment="1">
      <alignment horizontal="left" vertical="center" wrapText="1"/>
      <protection/>
    </xf>
    <xf numFmtId="1" fontId="60" fillId="34" borderId="15" xfId="106" applyNumberFormat="1" applyFont="1" applyFill="1" applyBorder="1" applyAlignment="1">
      <alignment horizontal="right" vertical="center" wrapText="1"/>
      <protection/>
    </xf>
    <xf numFmtId="175" fontId="60" fillId="34" borderId="15" xfId="106" applyNumberFormat="1" applyFont="1" applyFill="1" applyBorder="1" applyAlignment="1">
      <alignment horizontal="right" vertical="center" wrapText="1"/>
      <protection/>
    </xf>
    <xf numFmtId="175" fontId="60" fillId="34" borderId="15" xfId="106" applyNumberFormat="1" applyFont="1" applyFill="1" applyBorder="1" applyAlignment="1">
      <alignment horizontal="left" vertical="center" wrapText="1"/>
      <protection/>
    </xf>
    <xf numFmtId="1" fontId="62" fillId="34" borderId="15" xfId="106" applyNumberFormat="1" applyFont="1" applyFill="1" applyBorder="1" applyAlignment="1">
      <alignment horizontal="right" vertical="center" wrapText="1"/>
      <protection/>
    </xf>
    <xf numFmtId="175" fontId="62" fillId="34" borderId="15" xfId="106" applyNumberFormat="1" applyFont="1" applyFill="1" applyBorder="1" applyAlignment="1">
      <alignment horizontal="right" vertical="center" wrapText="1"/>
      <protection/>
    </xf>
    <xf numFmtId="175" fontId="60" fillId="34" borderId="15" xfId="106" applyNumberFormat="1" applyFont="1" applyFill="1" applyBorder="1" applyAlignment="1">
      <alignment horizontal="center" vertical="center" wrapText="1"/>
      <protection/>
    </xf>
    <xf numFmtId="3" fontId="21" fillId="34" borderId="15" xfId="106" applyNumberFormat="1" applyFont="1" applyFill="1" applyBorder="1" applyAlignment="1">
      <alignment horizontal="center" vertical="center" wrapText="1"/>
      <protection/>
    </xf>
    <xf numFmtId="3" fontId="9" fillId="34" borderId="15" xfId="106" applyNumberFormat="1" applyFont="1" applyFill="1" applyBorder="1" applyAlignment="1">
      <alignment horizontal="left" vertical="center" wrapText="1"/>
      <protection/>
    </xf>
    <xf numFmtId="1" fontId="62" fillId="34" borderId="15" xfId="106" applyNumberFormat="1" applyFont="1" applyFill="1" applyBorder="1" applyAlignment="1">
      <alignment horizontal="left" vertical="center" wrapText="1"/>
      <protection/>
    </xf>
    <xf numFmtId="175" fontId="62" fillId="34" borderId="15" xfId="106" applyNumberFormat="1" applyFont="1" applyFill="1" applyBorder="1" applyAlignment="1">
      <alignment horizontal="left" vertical="center" wrapText="1"/>
      <protection/>
    </xf>
    <xf numFmtId="0" fontId="61" fillId="0" borderId="0" xfId="0" applyFont="1" applyFill="1" applyAlignment="1">
      <alignment vertical="center"/>
    </xf>
    <xf numFmtId="0" fontId="21" fillId="0" borderId="0" xfId="0" applyFont="1" applyFill="1" applyAlignment="1">
      <alignment vertical="center"/>
    </xf>
    <xf numFmtId="0" fontId="21" fillId="0" borderId="0" xfId="0" applyFont="1" applyFill="1" applyAlignment="1">
      <alignment vertical="center" wrapText="1"/>
    </xf>
    <xf numFmtId="0" fontId="21" fillId="0" borderId="0" xfId="0" applyFont="1" applyFill="1" applyAlignment="1">
      <alignment horizontal="center" vertical="center" wrapText="1"/>
    </xf>
    <xf numFmtId="0" fontId="61" fillId="0" borderId="0" xfId="0" applyFont="1" applyFill="1" applyAlignment="1">
      <alignment vertical="center" wrapText="1"/>
    </xf>
    <xf numFmtId="0" fontId="60" fillId="0" borderId="0" xfId="0" applyFont="1" applyFill="1" applyAlignment="1">
      <alignment vertical="center"/>
    </xf>
    <xf numFmtId="0" fontId="21" fillId="0" borderId="0" xfId="0" applyFont="1" applyFill="1" applyAlignment="1">
      <alignment horizontal="center" vertical="center"/>
    </xf>
    <xf numFmtId="0" fontId="21" fillId="0" borderId="0" xfId="0" applyFont="1" applyFill="1" applyAlignment="1">
      <alignment horizontal="left" vertical="center"/>
    </xf>
    <xf numFmtId="0" fontId="21" fillId="0" borderId="0" xfId="0" applyFont="1" applyFill="1" applyAlignment="1">
      <alignment horizontal="right" vertical="center"/>
    </xf>
    <xf numFmtId="0" fontId="61" fillId="0" borderId="0" xfId="0" applyFont="1" applyFill="1" applyAlignment="1">
      <alignment horizontal="right" vertical="center"/>
    </xf>
    <xf numFmtId="0" fontId="61" fillId="0" borderId="0" xfId="0" applyFont="1" applyFill="1" applyAlignment="1">
      <alignment horizontal="left" vertical="center"/>
    </xf>
    <xf numFmtId="0" fontId="74" fillId="0" borderId="0" xfId="0" applyFont="1" applyFill="1" applyAlignment="1">
      <alignment vertical="center" wrapText="1"/>
    </xf>
    <xf numFmtId="0" fontId="74" fillId="0" borderId="0" xfId="0" applyFont="1" applyFill="1" applyAlignment="1">
      <alignment vertical="center"/>
    </xf>
    <xf numFmtId="4" fontId="60" fillId="0" borderId="0" xfId="0" applyNumberFormat="1" applyFont="1" applyFill="1" applyAlignment="1">
      <alignment vertical="center"/>
    </xf>
    <xf numFmtId="177" fontId="60" fillId="0" borderId="0" xfId="0" applyNumberFormat="1" applyFont="1" applyFill="1" applyAlignment="1">
      <alignment vertical="center"/>
    </xf>
    <xf numFmtId="0" fontId="76" fillId="0" borderId="37" xfId="0" applyFont="1" applyFill="1" applyBorder="1" applyAlignment="1">
      <alignment horizontal="right" vertical="center"/>
    </xf>
    <xf numFmtId="0" fontId="21" fillId="0" borderId="38" xfId="0" applyFont="1" applyFill="1" applyBorder="1" applyAlignment="1">
      <alignment vertical="center"/>
    </xf>
    <xf numFmtId="0" fontId="61" fillId="0" borderId="38" xfId="0" applyFont="1" applyFill="1" applyBorder="1" applyAlignment="1">
      <alignment horizontal="right" vertical="center"/>
    </xf>
    <xf numFmtId="0" fontId="77" fillId="0" borderId="0" xfId="0" applyFont="1" applyAlignment="1">
      <alignment vertical="center" wrapText="1"/>
    </xf>
    <xf numFmtId="0" fontId="77" fillId="0" borderId="0" xfId="0" applyFont="1" applyAlignment="1">
      <alignment horizontal="center" vertical="center" wrapText="1"/>
    </xf>
    <xf numFmtId="0" fontId="20" fillId="0" borderId="0" xfId="0" applyFont="1" applyFill="1" applyAlignment="1">
      <alignment horizontal="center" vertical="center"/>
    </xf>
    <xf numFmtId="0" fontId="16" fillId="0" borderId="9" xfId="0" applyFont="1" applyFill="1" applyBorder="1" applyAlignment="1">
      <alignment horizontal="center" vertical="center" wrapText="1"/>
    </xf>
    <xf numFmtId="0" fontId="16" fillId="0" borderId="9" xfId="0" applyFont="1" applyFill="1" applyBorder="1" applyAlignment="1">
      <alignment vertical="center" wrapText="1"/>
    </xf>
    <xf numFmtId="0" fontId="16" fillId="0" borderId="9" xfId="0" applyFont="1" applyFill="1" applyBorder="1" applyAlignment="1">
      <alignment vertical="center"/>
    </xf>
    <xf numFmtId="0" fontId="16" fillId="0" borderId="9" xfId="0" applyFont="1" applyFill="1" applyBorder="1" applyAlignment="1">
      <alignment horizontal="center" vertical="center"/>
    </xf>
    <xf numFmtId="0" fontId="16" fillId="0" borderId="9" xfId="0" applyFont="1" applyFill="1" applyBorder="1" applyAlignment="1">
      <alignment horizontal="left" vertical="center" wrapText="1"/>
    </xf>
    <xf numFmtId="0" fontId="20" fillId="0" borderId="9" xfId="0" applyFont="1" applyFill="1" applyBorder="1" applyAlignment="1">
      <alignment horizontal="center" vertical="center"/>
    </xf>
    <xf numFmtId="0" fontId="20" fillId="0" borderId="9" xfId="0" applyFont="1" applyFill="1" applyBorder="1" applyAlignment="1">
      <alignment horizontal="left" vertical="center" wrapText="1"/>
    </xf>
    <xf numFmtId="0" fontId="20" fillId="0" borderId="9" xfId="0" applyFont="1" applyFill="1" applyBorder="1" applyAlignment="1" quotePrefix="1">
      <alignment horizontal="left" vertical="center" wrapText="1"/>
    </xf>
    <xf numFmtId="0" fontId="20" fillId="0" borderId="9" xfId="0" applyFont="1" applyFill="1" applyBorder="1" applyAlignment="1" quotePrefix="1">
      <alignment horizontal="center" vertical="center" wrapText="1"/>
    </xf>
    <xf numFmtId="0" fontId="20" fillId="0" borderId="0" xfId="0" applyFont="1" applyFill="1" applyAlignment="1">
      <alignment vertical="center" wrapText="1"/>
    </xf>
    <xf numFmtId="0" fontId="20" fillId="0" borderId="0" xfId="0" applyFont="1" applyFill="1" applyAlignment="1">
      <alignment horizontal="center" vertical="center" wrapText="1"/>
    </xf>
    <xf numFmtId="0" fontId="20" fillId="0" borderId="0" xfId="0" applyFont="1" applyFill="1" applyAlignment="1">
      <alignment vertical="center"/>
    </xf>
    <xf numFmtId="0" fontId="78" fillId="0" borderId="0" xfId="0" applyFont="1" applyAlignment="1">
      <alignment vertical="center" wrapText="1"/>
    </xf>
    <xf numFmtId="0" fontId="78" fillId="0" borderId="0" xfId="0" applyFont="1" applyAlignment="1">
      <alignment horizontal="center" vertical="center" wrapText="1"/>
    </xf>
    <xf numFmtId="0" fontId="79" fillId="0" borderId="9" xfId="0" applyFont="1" applyBorder="1" applyAlignment="1">
      <alignment vertical="center" wrapText="1"/>
    </xf>
    <xf numFmtId="0" fontId="79" fillId="0" borderId="9" xfId="0" applyFont="1" applyBorder="1" applyAlignment="1">
      <alignment horizontal="center" vertical="center" wrapText="1"/>
    </xf>
    <xf numFmtId="0" fontId="78" fillId="0" borderId="9" xfId="0" applyFont="1" applyBorder="1" applyAlignment="1">
      <alignment horizontal="center" vertical="center" wrapText="1"/>
    </xf>
    <xf numFmtId="0" fontId="78" fillId="0" borderId="9" xfId="0" applyFont="1" applyBorder="1" applyAlignment="1">
      <alignment vertical="center" wrapText="1"/>
    </xf>
    <xf numFmtId="0" fontId="80" fillId="0" borderId="9" xfId="0" applyFont="1" applyBorder="1" applyAlignment="1" quotePrefix="1">
      <alignment vertical="center" wrapText="1"/>
    </xf>
    <xf numFmtId="0" fontId="80" fillId="0" borderId="9" xfId="0" applyFont="1" applyBorder="1" applyAlignment="1">
      <alignment vertical="center" wrapText="1"/>
    </xf>
    <xf numFmtId="0" fontId="16" fillId="0" borderId="26" xfId="0" applyFont="1" applyFill="1" applyBorder="1" applyAlignment="1">
      <alignment horizontal="center" vertical="center" wrapText="1"/>
    </xf>
    <xf numFmtId="0" fontId="20" fillId="0" borderId="0" xfId="0" applyFont="1" applyFill="1" applyAlignment="1">
      <alignment horizontal="left" vertical="center"/>
    </xf>
    <xf numFmtId="0" fontId="20" fillId="0" borderId="9" xfId="0" applyFont="1" applyFill="1" applyBorder="1" applyAlignment="1">
      <alignment horizontal="center" vertical="center" wrapText="1"/>
    </xf>
    <xf numFmtId="174" fontId="20" fillId="0" borderId="9" xfId="53" applyNumberFormat="1" applyFont="1" applyFill="1" applyBorder="1" applyAlignment="1">
      <alignment horizontal="center" vertical="center" wrapText="1"/>
    </xf>
    <xf numFmtId="0" fontId="20" fillId="0" borderId="9" xfId="0" applyFont="1" applyFill="1" applyBorder="1" applyAlignment="1">
      <alignment vertical="center" wrapText="1"/>
    </xf>
    <xf numFmtId="0" fontId="20" fillId="0" borderId="0" xfId="0" applyFont="1" applyFill="1" applyAlignment="1">
      <alignment horizontal="right" vertical="center" wrapText="1"/>
    </xf>
    <xf numFmtId="174" fontId="20" fillId="0" borderId="9" xfId="51" applyNumberFormat="1" applyFont="1" applyFill="1" applyBorder="1" applyAlignment="1">
      <alignment horizontal="center" vertical="center"/>
    </xf>
    <xf numFmtId="175" fontId="20" fillId="0" borderId="9" xfId="51" applyNumberFormat="1" applyFont="1" applyFill="1" applyBorder="1" applyAlignment="1">
      <alignment horizontal="center" vertical="center"/>
    </xf>
    <xf numFmtId="0" fontId="73" fillId="0" borderId="9" xfId="0" applyFont="1" applyFill="1" applyBorder="1" applyAlignment="1">
      <alignment horizontal="center" vertical="center"/>
    </xf>
    <xf numFmtId="0" fontId="73" fillId="0" borderId="9" xfId="0" applyFont="1" applyFill="1" applyBorder="1" applyAlignment="1">
      <alignment vertical="center" wrapText="1"/>
    </xf>
    <xf numFmtId="0" fontId="73" fillId="0" borderId="9" xfId="0" applyFont="1" applyFill="1" applyBorder="1" applyAlignment="1">
      <alignment horizontal="center" vertical="center" wrapText="1"/>
    </xf>
    <xf numFmtId="175" fontId="73" fillId="0" borderId="9" xfId="51" applyNumberFormat="1" applyFont="1" applyFill="1" applyBorder="1" applyAlignment="1">
      <alignment horizontal="center" vertical="center"/>
    </xf>
    <xf numFmtId="3" fontId="20" fillId="0" borderId="0" xfId="0" applyNumberFormat="1" applyFont="1" applyFill="1" applyAlignment="1">
      <alignment vertical="center"/>
    </xf>
    <xf numFmtId="0" fontId="20" fillId="0" borderId="9" xfId="0" applyFont="1" applyFill="1" applyBorder="1" applyAlignment="1" quotePrefix="1">
      <alignment vertical="center" wrapText="1"/>
    </xf>
    <xf numFmtId="0" fontId="20" fillId="0" borderId="9" xfId="0" applyFont="1" applyFill="1" applyBorder="1" applyAlignment="1">
      <alignment horizontal="justify" vertical="center" wrapText="1"/>
    </xf>
    <xf numFmtId="175" fontId="20" fillId="0" borderId="0" xfId="0" applyNumberFormat="1" applyFont="1" applyFill="1" applyAlignment="1">
      <alignment vertical="center"/>
    </xf>
    <xf numFmtId="174" fontId="16" fillId="0" borderId="9" xfId="53" applyNumberFormat="1" applyFont="1" applyFill="1" applyBorder="1" applyAlignment="1">
      <alignment horizontal="center" vertical="center" wrapText="1"/>
    </xf>
    <xf numFmtId="0" fontId="35" fillId="0" borderId="0" xfId="0" applyFont="1" applyFill="1" applyAlignment="1">
      <alignment/>
    </xf>
    <xf numFmtId="0" fontId="77" fillId="0" borderId="9" xfId="0" applyFont="1" applyBorder="1" applyAlignment="1">
      <alignment horizontal="center" vertical="center" wrapText="1"/>
    </xf>
    <xf numFmtId="0" fontId="71" fillId="0" borderId="0" xfId="0" applyFont="1" applyAlignment="1">
      <alignment wrapText="1"/>
    </xf>
    <xf numFmtId="0" fontId="71" fillId="0" borderId="9" xfId="0" applyFont="1" applyBorder="1" applyAlignment="1">
      <alignment vertical="center" wrapText="1"/>
    </xf>
    <xf numFmtId="0" fontId="71" fillId="0" borderId="9" xfId="0" applyFont="1" applyBorder="1" applyAlignment="1">
      <alignment horizontal="center" vertical="center" wrapText="1"/>
    </xf>
    <xf numFmtId="0" fontId="71" fillId="0" borderId="9" xfId="0" applyFont="1" applyBorder="1" applyAlignment="1" quotePrefix="1">
      <alignment horizontal="center" vertical="center" wrapText="1"/>
    </xf>
    <xf numFmtId="0" fontId="67" fillId="0" borderId="9" xfId="0" applyFont="1" applyBorder="1" applyAlignment="1">
      <alignment vertical="center" wrapText="1"/>
    </xf>
    <xf numFmtId="0" fontId="66" fillId="0" borderId="9" xfId="0" applyFont="1" applyBorder="1" applyAlignment="1">
      <alignment horizontal="center" vertical="center" wrapText="1"/>
    </xf>
    <xf numFmtId="0" fontId="66" fillId="0" borderId="9" xfId="0" applyFont="1" applyBorder="1" applyAlignment="1">
      <alignment horizontal="left" vertical="center" wrapText="1"/>
    </xf>
    <xf numFmtId="0" fontId="66" fillId="0" borderId="9" xfId="0" applyFont="1" applyFill="1" applyBorder="1" applyAlignment="1">
      <alignment horizontal="center" vertical="center" wrapText="1"/>
    </xf>
    <xf numFmtId="0" fontId="71" fillId="0" borderId="9" xfId="0" applyFont="1" applyFill="1" applyBorder="1" applyAlignment="1">
      <alignment vertical="center" wrapText="1"/>
    </xf>
    <xf numFmtId="0" fontId="71" fillId="0" borderId="9" xfId="0" applyFont="1" applyFill="1" applyBorder="1" applyAlignment="1">
      <alignment horizontal="center" vertical="center" wrapText="1"/>
    </xf>
    <xf numFmtId="0" fontId="66" fillId="0" borderId="9" xfId="0" applyFont="1" applyFill="1" applyBorder="1" applyAlignment="1">
      <alignment vertical="center" wrapText="1"/>
    </xf>
    <xf numFmtId="0" fontId="66" fillId="0" borderId="0" xfId="0" applyFont="1" applyAlignment="1">
      <alignment horizontal="center" wrapText="1"/>
    </xf>
    <xf numFmtId="0" fontId="21" fillId="0" borderId="0" xfId="103" applyFont="1" applyFill="1" applyAlignment="1">
      <alignment horizontal="center" vertical="center"/>
      <protection/>
    </xf>
    <xf numFmtId="0" fontId="21" fillId="0" borderId="0" xfId="103" applyFont="1" applyFill="1" applyAlignment="1">
      <alignment vertical="center" wrapText="1"/>
      <protection/>
    </xf>
    <xf numFmtId="0" fontId="21" fillId="0" borderId="0" xfId="103" applyFont="1" applyFill="1" applyAlignment="1">
      <alignment horizontal="center" vertical="center" wrapText="1"/>
      <protection/>
    </xf>
    <xf numFmtId="0" fontId="21" fillId="0" borderId="0" xfId="103" applyFont="1" applyFill="1" applyAlignment="1">
      <alignment vertical="center"/>
      <protection/>
    </xf>
    <xf numFmtId="0" fontId="16" fillId="0" borderId="9" xfId="103" applyFont="1" applyFill="1" applyBorder="1" applyAlignment="1">
      <alignment horizontal="center" vertical="center" wrapText="1"/>
      <protection/>
    </xf>
    <xf numFmtId="0" fontId="61" fillId="0" borderId="0" xfId="103" applyFont="1" applyFill="1" applyAlignment="1">
      <alignment horizontal="center" vertical="center" wrapText="1"/>
      <protection/>
    </xf>
    <xf numFmtId="0" fontId="16" fillId="0" borderId="9" xfId="103" applyFont="1" applyFill="1" applyBorder="1" applyAlignment="1">
      <alignment horizontal="center" vertical="center"/>
      <protection/>
    </xf>
    <xf numFmtId="0" fontId="16" fillId="0" borderId="9" xfId="103" applyFont="1" applyFill="1" applyBorder="1" applyAlignment="1">
      <alignment horizontal="left" vertical="center" wrapText="1"/>
      <protection/>
    </xf>
    <xf numFmtId="0" fontId="61" fillId="0" borderId="0" xfId="103" applyFont="1" applyFill="1" applyAlignment="1">
      <alignment vertical="center"/>
      <protection/>
    </xf>
    <xf numFmtId="0" fontId="20" fillId="0" borderId="9" xfId="103" applyFont="1" applyFill="1" applyBorder="1" applyAlignment="1">
      <alignment horizontal="center" vertical="center"/>
      <protection/>
    </xf>
    <xf numFmtId="0" fontId="20" fillId="0" borderId="9" xfId="103" applyFont="1" applyFill="1" applyBorder="1" applyAlignment="1">
      <alignment horizontal="left" vertical="center" wrapText="1"/>
      <protection/>
    </xf>
    <xf numFmtId="0" fontId="60" fillId="0" borderId="0" xfId="103" applyFont="1" applyFill="1" applyAlignment="1">
      <alignment vertical="center"/>
      <protection/>
    </xf>
    <xf numFmtId="0" fontId="73" fillId="0" borderId="9" xfId="103" applyFont="1" applyFill="1" applyBorder="1" applyAlignment="1">
      <alignment horizontal="center" vertical="center"/>
      <protection/>
    </xf>
    <xf numFmtId="0" fontId="60" fillId="0" borderId="0" xfId="103" applyFont="1" applyFill="1" applyAlignment="1">
      <alignment vertical="center"/>
      <protection/>
    </xf>
    <xf numFmtId="43" fontId="20" fillId="0" borderId="9" xfId="103" applyNumberFormat="1" applyFont="1" applyFill="1" applyBorder="1" applyAlignment="1">
      <alignment horizontal="right" vertical="center"/>
      <protection/>
    </xf>
    <xf numFmtId="0" fontId="16" fillId="0" borderId="9" xfId="103" applyFont="1" applyFill="1" applyBorder="1" applyAlignment="1">
      <alignment vertical="center" wrapText="1"/>
      <protection/>
    </xf>
    <xf numFmtId="0" fontId="73" fillId="0" borderId="9" xfId="103" applyFont="1" applyFill="1" applyBorder="1" applyAlignment="1">
      <alignment horizontal="left" vertical="center" wrapText="1"/>
      <protection/>
    </xf>
    <xf numFmtId="178" fontId="20" fillId="0" borderId="9" xfId="103" applyNumberFormat="1" applyFont="1" applyFill="1" applyBorder="1" applyAlignment="1">
      <alignment horizontal="right" vertical="center"/>
      <protection/>
    </xf>
    <xf numFmtId="178" fontId="20" fillId="0" borderId="9" xfId="53" applyNumberFormat="1" applyFont="1" applyFill="1" applyBorder="1" applyAlignment="1">
      <alignment horizontal="right" vertical="center" wrapText="1"/>
    </xf>
    <xf numFmtId="0" fontId="20" fillId="0" borderId="9" xfId="103" applyFont="1" applyFill="1" applyBorder="1" applyAlignment="1">
      <alignment vertical="center" wrapText="1"/>
      <protection/>
    </xf>
    <xf numFmtId="176" fontId="20" fillId="0" borderId="9" xfId="103" applyNumberFormat="1" applyFont="1" applyFill="1" applyBorder="1" applyAlignment="1">
      <alignment horizontal="right" vertical="center"/>
      <protection/>
    </xf>
    <xf numFmtId="179" fontId="20" fillId="0" borderId="9" xfId="103" applyNumberFormat="1" applyFont="1" applyFill="1" applyBorder="1" applyAlignment="1">
      <alignment horizontal="right" vertical="center"/>
      <protection/>
    </xf>
    <xf numFmtId="37" fontId="20" fillId="0" borderId="9" xfId="103" applyNumberFormat="1" applyFont="1" applyFill="1" applyBorder="1" applyAlignment="1">
      <alignment horizontal="right" vertical="center"/>
      <protection/>
    </xf>
    <xf numFmtId="0" fontId="16" fillId="0" borderId="9" xfId="103" applyFont="1" applyFill="1" applyBorder="1" applyAlignment="1">
      <alignment horizontal="center" vertical="center"/>
      <protection/>
    </xf>
    <xf numFmtId="0" fontId="16" fillId="0" borderId="9" xfId="103" applyFont="1" applyFill="1" applyBorder="1" applyAlignment="1">
      <alignment horizontal="left" vertical="center" wrapText="1"/>
      <protection/>
    </xf>
    <xf numFmtId="174" fontId="16" fillId="0" borderId="9" xfId="53" applyNumberFormat="1" applyFont="1" applyFill="1" applyBorder="1" applyAlignment="1">
      <alignment horizontal="center" vertical="center" wrapText="1"/>
    </xf>
    <xf numFmtId="0" fontId="61" fillId="0" borderId="0" xfId="103" applyFont="1" applyFill="1" applyAlignment="1">
      <alignment vertical="center"/>
      <protection/>
    </xf>
    <xf numFmtId="0" fontId="37" fillId="0" borderId="9" xfId="103" applyFont="1" applyFill="1" applyBorder="1" applyAlignment="1">
      <alignment horizontal="left" vertical="center" wrapText="1"/>
      <protection/>
    </xf>
    <xf numFmtId="0" fontId="20" fillId="0" borderId="9" xfId="103" applyFont="1" applyFill="1" applyBorder="1" applyAlignment="1">
      <alignment horizontal="center" vertical="center"/>
      <protection/>
    </xf>
    <xf numFmtId="0" fontId="21" fillId="0" borderId="9" xfId="103" applyFont="1" applyFill="1" applyBorder="1" applyAlignment="1" quotePrefix="1">
      <alignment vertical="center" wrapText="1"/>
      <protection/>
    </xf>
    <xf numFmtId="174" fontId="20" fillId="0" borderId="9" xfId="53" applyNumberFormat="1" applyFont="1" applyFill="1" applyBorder="1" applyAlignment="1">
      <alignment horizontal="right" vertical="center"/>
    </xf>
    <xf numFmtId="0" fontId="21" fillId="0" borderId="0" xfId="103" applyFont="1" applyFill="1" applyAlignment="1">
      <alignment vertical="center"/>
      <protection/>
    </xf>
    <xf numFmtId="0" fontId="21" fillId="0" borderId="9" xfId="103" applyFont="1" applyFill="1" applyBorder="1" applyAlignment="1">
      <alignment vertical="center" wrapText="1"/>
      <protection/>
    </xf>
    <xf numFmtId="43" fontId="16" fillId="0" borderId="9" xfId="53" applyNumberFormat="1" applyFont="1" applyFill="1" applyBorder="1" applyAlignment="1">
      <alignment horizontal="right" vertical="center" wrapText="1"/>
    </xf>
    <xf numFmtId="177" fontId="16" fillId="0" borderId="9" xfId="103" applyNumberFormat="1" applyFont="1" applyFill="1" applyBorder="1" applyAlignment="1">
      <alignment horizontal="right" vertical="center"/>
      <protection/>
    </xf>
    <xf numFmtId="0" fontId="20" fillId="0" borderId="9" xfId="103" applyFont="1" applyFill="1" applyBorder="1" applyAlignment="1" quotePrefix="1">
      <alignment horizontal="left" vertical="center" wrapText="1"/>
      <protection/>
    </xf>
    <xf numFmtId="2" fontId="16" fillId="0" borderId="9" xfId="103" applyNumberFormat="1" applyFont="1" applyFill="1" applyBorder="1" applyAlignment="1">
      <alignment horizontal="right" vertical="center"/>
      <protection/>
    </xf>
    <xf numFmtId="0" fontId="20" fillId="0" borderId="9" xfId="103" applyFont="1" applyFill="1" applyBorder="1" applyAlignment="1" quotePrefix="1">
      <alignment horizontal="center" vertical="center" wrapText="1"/>
      <protection/>
    </xf>
    <xf numFmtId="0" fontId="21" fillId="0" borderId="0" xfId="103" applyFont="1" applyFill="1" applyBorder="1" applyAlignment="1">
      <alignment horizontal="left" vertical="center" wrapText="1"/>
      <protection/>
    </xf>
    <xf numFmtId="0" fontId="79" fillId="0" borderId="9" xfId="0" applyFont="1" applyFill="1" applyBorder="1" applyAlignment="1">
      <alignment horizontal="center" vertical="center"/>
    </xf>
    <xf numFmtId="0" fontId="79" fillId="0" borderId="9" xfId="0" applyFont="1" applyFill="1" applyBorder="1" applyAlignment="1">
      <alignment vertical="center" wrapText="1"/>
    </xf>
    <xf numFmtId="0" fontId="79" fillId="0" borderId="9" xfId="0" applyFont="1" applyFill="1" applyBorder="1" applyAlignment="1">
      <alignment horizontal="center" vertical="center" wrapText="1"/>
    </xf>
    <xf numFmtId="0" fontId="85" fillId="0" borderId="0" xfId="0" applyFont="1" applyFill="1" applyAlignment="1">
      <alignment vertical="center"/>
    </xf>
    <xf numFmtId="0" fontId="78" fillId="0" borderId="9" xfId="0" applyFont="1" applyFill="1" applyBorder="1" applyAlignment="1" quotePrefix="1">
      <alignment horizontal="center" vertical="center" wrapText="1"/>
    </xf>
    <xf numFmtId="0" fontId="78" fillId="0" borderId="9" xfId="0" applyFont="1" applyFill="1" applyBorder="1" applyAlignment="1">
      <alignment vertical="center" wrapText="1"/>
    </xf>
    <xf numFmtId="0" fontId="78" fillId="0" borderId="9" xfId="0" applyFont="1" applyFill="1" applyBorder="1" applyAlignment="1">
      <alignment horizontal="center" vertical="center" wrapText="1"/>
    </xf>
    <xf numFmtId="175" fontId="78" fillId="0" borderId="9" xfId="0" applyNumberFormat="1" applyFont="1" applyFill="1" applyBorder="1" applyAlignment="1">
      <alignment horizontal="center" vertical="center" wrapText="1"/>
    </xf>
    <xf numFmtId="175" fontId="78" fillId="0" borderId="9" xfId="0" applyNumberFormat="1" applyFont="1" applyFill="1" applyBorder="1" applyAlignment="1" quotePrefix="1">
      <alignment horizontal="center" vertical="center" wrapText="1"/>
    </xf>
    <xf numFmtId="0" fontId="86" fillId="0" borderId="38" xfId="0" applyFont="1" applyFill="1" applyBorder="1" applyAlignment="1">
      <alignment horizontal="center" vertical="center"/>
    </xf>
    <xf numFmtId="0" fontId="22" fillId="0" borderId="0" xfId="0" applyFont="1" applyFill="1" applyAlignment="1">
      <alignment vertical="center"/>
    </xf>
    <xf numFmtId="0" fontId="21" fillId="0" borderId="9" xfId="0" applyFont="1" applyFill="1" applyBorder="1" applyAlignment="1">
      <alignment horizontal="right" wrapText="1"/>
    </xf>
    <xf numFmtId="179" fontId="20" fillId="0" borderId="9" xfId="0" applyNumberFormat="1" applyFont="1" applyFill="1" applyBorder="1" applyAlignment="1">
      <alignment horizontal="center" vertical="center"/>
    </xf>
    <xf numFmtId="3" fontId="20" fillId="0" borderId="9" xfId="103" applyNumberFormat="1" applyFont="1" applyFill="1" applyBorder="1" applyAlignment="1">
      <alignment vertical="center"/>
      <protection/>
    </xf>
    <xf numFmtId="2" fontId="21" fillId="0" borderId="9" xfId="0" applyNumberFormat="1" applyFont="1" applyFill="1" applyBorder="1" applyAlignment="1">
      <alignment horizontal="right" wrapText="1"/>
    </xf>
    <xf numFmtId="2" fontId="60" fillId="0" borderId="0" xfId="0" applyNumberFormat="1" applyFont="1" applyFill="1" applyAlignment="1">
      <alignment vertical="center"/>
    </xf>
    <xf numFmtId="2" fontId="21" fillId="0" borderId="0" xfId="0" applyNumberFormat="1" applyFont="1" applyFill="1" applyAlignment="1">
      <alignment vertical="center"/>
    </xf>
    <xf numFmtId="2" fontId="61" fillId="0" borderId="0" xfId="0" applyNumberFormat="1" applyFont="1" applyFill="1" applyAlignment="1">
      <alignment vertical="center"/>
    </xf>
    <xf numFmtId="3" fontId="21" fillId="0" borderId="0" xfId="0" applyNumberFormat="1" applyFont="1" applyFill="1" applyAlignment="1">
      <alignment vertical="center"/>
    </xf>
    <xf numFmtId="0" fontId="20" fillId="0" borderId="0" xfId="0" applyFont="1" applyFill="1" applyBorder="1" applyAlignment="1">
      <alignment horizontal="left" vertical="center" wrapText="1"/>
    </xf>
    <xf numFmtId="0" fontId="78" fillId="0" borderId="9" xfId="0" applyFont="1" applyFill="1" applyBorder="1" applyAlignment="1">
      <alignment horizontal="center" vertical="center"/>
    </xf>
    <xf numFmtId="2" fontId="22" fillId="0" borderId="0" xfId="0" applyNumberFormat="1" applyFont="1" applyFill="1" applyAlignment="1">
      <alignment vertical="center"/>
    </xf>
    <xf numFmtId="0" fontId="22" fillId="0" borderId="38" xfId="0" applyFont="1" applyFill="1" applyBorder="1" applyAlignment="1">
      <alignment vertical="center"/>
    </xf>
    <xf numFmtId="3" fontId="22" fillId="0" borderId="0" xfId="0" applyNumberFormat="1" applyFont="1" applyFill="1" applyAlignment="1">
      <alignment vertical="center"/>
    </xf>
    <xf numFmtId="174" fontId="16" fillId="0" borderId="9" xfId="58" applyNumberFormat="1" applyFont="1" applyFill="1" applyBorder="1" applyAlignment="1">
      <alignment horizontal="center" vertical="center" wrapText="1"/>
    </xf>
    <xf numFmtId="175" fontId="16" fillId="0" borderId="9" xfId="58" applyNumberFormat="1" applyFont="1" applyFill="1" applyBorder="1" applyAlignment="1">
      <alignment horizontal="center" vertical="center"/>
    </xf>
    <xf numFmtId="3" fontId="20" fillId="0" borderId="9" xfId="58" applyNumberFormat="1" applyFont="1" applyFill="1" applyBorder="1" applyAlignment="1">
      <alignment horizontal="center" vertical="center"/>
    </xf>
    <xf numFmtId="175" fontId="16" fillId="0" borderId="9" xfId="58" applyNumberFormat="1" applyFont="1" applyFill="1" applyBorder="1" applyAlignment="1">
      <alignment horizontal="left" vertical="center"/>
    </xf>
    <xf numFmtId="178" fontId="21" fillId="0" borderId="9" xfId="58" applyNumberFormat="1" applyFont="1" applyFill="1" applyBorder="1" applyAlignment="1">
      <alignment horizontal="right" wrapText="1"/>
    </xf>
    <xf numFmtId="179" fontId="21" fillId="0" borderId="9" xfId="58" applyNumberFormat="1" applyFont="1" applyFill="1" applyBorder="1" applyAlignment="1">
      <alignment horizontal="center" vertical="center"/>
    </xf>
    <xf numFmtId="174" fontId="60" fillId="0" borderId="9" xfId="58" applyNumberFormat="1" applyFont="1" applyFill="1" applyBorder="1" applyAlignment="1">
      <alignment horizontal="center" vertical="center" wrapText="1"/>
    </xf>
    <xf numFmtId="4" fontId="60" fillId="0" borderId="9" xfId="58" applyNumberFormat="1" applyFont="1" applyFill="1" applyBorder="1" applyAlignment="1">
      <alignment horizontal="right" vertical="center"/>
    </xf>
    <xf numFmtId="175" fontId="60" fillId="0" borderId="9" xfId="58" applyNumberFormat="1" applyFont="1" applyFill="1" applyBorder="1" applyAlignment="1">
      <alignment horizontal="right" vertical="center"/>
    </xf>
    <xf numFmtId="3" fontId="21" fillId="0" borderId="9" xfId="58" applyNumberFormat="1" applyFont="1" applyFill="1" applyBorder="1" applyAlignment="1">
      <alignment horizontal="center" vertical="center"/>
    </xf>
    <xf numFmtId="43" fontId="21" fillId="0" borderId="9" xfId="58" applyNumberFormat="1" applyFont="1" applyFill="1" applyBorder="1" applyAlignment="1">
      <alignment horizontal="center" wrapText="1"/>
    </xf>
    <xf numFmtId="43" fontId="21" fillId="0" borderId="9" xfId="58" applyNumberFormat="1" applyFont="1" applyFill="1" applyBorder="1" applyAlignment="1">
      <alignment horizontal="center"/>
    </xf>
    <xf numFmtId="174" fontId="21" fillId="0" borderId="9" xfId="58" applyNumberFormat="1" applyFont="1" applyFill="1" applyBorder="1" applyAlignment="1">
      <alignment horizontal="right" wrapText="1"/>
    </xf>
    <xf numFmtId="174" fontId="78" fillId="0" borderId="9" xfId="58" applyNumberFormat="1" applyFont="1" applyFill="1" applyBorder="1" applyAlignment="1">
      <alignment horizontal="center" vertical="center" wrapText="1"/>
    </xf>
    <xf numFmtId="175" fontId="78" fillId="0" borderId="9" xfId="58" applyNumberFormat="1" applyFont="1" applyFill="1" applyBorder="1" applyAlignment="1">
      <alignment horizontal="center" vertical="center"/>
    </xf>
    <xf numFmtId="3" fontId="16" fillId="0" borderId="9" xfId="58" applyNumberFormat="1" applyFont="1" applyFill="1" applyBorder="1" applyAlignment="1">
      <alignment horizontal="center" vertical="center" wrapText="1"/>
    </xf>
    <xf numFmtId="4" fontId="16" fillId="0" borderId="9" xfId="58" applyNumberFormat="1" applyFont="1" applyFill="1" applyBorder="1" applyAlignment="1">
      <alignment horizontal="left" vertical="center"/>
    </xf>
    <xf numFmtId="3" fontId="20" fillId="0" borderId="9" xfId="58" applyNumberFormat="1" applyFont="1" applyFill="1" applyBorder="1" applyAlignment="1">
      <alignment horizontal="center" vertical="center" wrapText="1"/>
    </xf>
    <xf numFmtId="3" fontId="20" fillId="0" borderId="9" xfId="58" applyNumberFormat="1" applyFont="1" applyFill="1" applyBorder="1" applyAlignment="1">
      <alignment vertical="center"/>
    </xf>
    <xf numFmtId="4" fontId="20" fillId="0" borderId="9" xfId="58" applyNumberFormat="1" applyFont="1" applyFill="1" applyBorder="1" applyAlignment="1">
      <alignment vertical="center"/>
    </xf>
    <xf numFmtId="43" fontId="20" fillId="0" borderId="9" xfId="58" applyNumberFormat="1" applyFont="1" applyFill="1" applyBorder="1" applyAlignment="1">
      <alignment horizontal="center" vertical="center" wrapText="1"/>
    </xf>
    <xf numFmtId="175" fontId="16" fillId="0" borderId="9" xfId="58" applyNumberFormat="1" applyFont="1" applyFill="1" applyBorder="1" applyAlignment="1">
      <alignment vertical="center"/>
    </xf>
    <xf numFmtId="3" fontId="78" fillId="0" borderId="9" xfId="58" applyNumberFormat="1" applyFont="1" applyFill="1" applyBorder="1" applyAlignment="1">
      <alignment vertical="center"/>
    </xf>
    <xf numFmtId="174" fontId="20" fillId="0" borderId="9" xfId="58" applyNumberFormat="1" applyFont="1" applyFill="1" applyBorder="1" applyAlignment="1">
      <alignment horizontal="center" vertical="center" wrapText="1"/>
    </xf>
    <xf numFmtId="175" fontId="20" fillId="0" borderId="9" xfId="58" applyNumberFormat="1" applyFont="1" applyFill="1" applyBorder="1" applyAlignment="1">
      <alignment horizontal="center" vertical="center"/>
    </xf>
    <xf numFmtId="4" fontId="20" fillId="0" borderId="9" xfId="58" applyNumberFormat="1" applyFont="1" applyFill="1" applyBorder="1" applyAlignment="1">
      <alignment horizontal="center" vertical="center"/>
    </xf>
    <xf numFmtId="202" fontId="20" fillId="0" borderId="9" xfId="58" applyNumberFormat="1" applyFont="1" applyFill="1" applyBorder="1" applyAlignment="1">
      <alignment horizontal="center" vertical="center" wrapText="1"/>
    </xf>
    <xf numFmtId="176" fontId="20" fillId="0" borderId="9" xfId="58" applyNumberFormat="1" applyFont="1" applyFill="1" applyBorder="1" applyAlignment="1">
      <alignment horizontal="center" vertical="center"/>
    </xf>
    <xf numFmtId="176" fontId="20" fillId="0" borderId="9" xfId="58" applyNumberFormat="1" applyFont="1" applyFill="1" applyBorder="1" applyAlignment="1" quotePrefix="1">
      <alignment horizontal="center" vertical="center"/>
    </xf>
    <xf numFmtId="179" fontId="20" fillId="0" borderId="9" xfId="58" applyNumberFormat="1" applyFont="1" applyFill="1" applyBorder="1" applyAlignment="1">
      <alignment horizontal="center" vertical="center"/>
    </xf>
    <xf numFmtId="43" fontId="20" fillId="0" borderId="9" xfId="58" applyNumberFormat="1" applyFont="1" applyFill="1" applyBorder="1" applyAlignment="1" quotePrefix="1">
      <alignment horizontal="right" vertical="center" wrapText="1"/>
    </xf>
    <xf numFmtId="178" fontId="77" fillId="0" borderId="0" xfId="58" applyNumberFormat="1" applyFont="1" applyAlignment="1">
      <alignment vertical="center" wrapText="1"/>
    </xf>
    <xf numFmtId="0" fontId="78" fillId="0" borderId="9" xfId="0" applyFont="1" applyBorder="1" applyAlignment="1">
      <alignment horizontal="right" vertical="center" wrapText="1"/>
    </xf>
    <xf numFmtId="9" fontId="78" fillId="0" borderId="9" xfId="0" applyNumberFormat="1" applyFont="1" applyBorder="1" applyAlignment="1">
      <alignment horizontal="center" vertical="center" wrapText="1"/>
    </xf>
    <xf numFmtId="178" fontId="78" fillId="0" borderId="9" xfId="58" applyNumberFormat="1" applyFont="1" applyBorder="1" applyAlignment="1">
      <alignment horizontal="right" vertical="center" wrapText="1"/>
    </xf>
    <xf numFmtId="178" fontId="20" fillId="0" borderId="9" xfId="58" applyNumberFormat="1" applyFont="1" applyBorder="1" applyAlignment="1">
      <alignment horizontal="right" vertical="center" wrapText="1"/>
    </xf>
    <xf numFmtId="178" fontId="20" fillId="0" borderId="9" xfId="58" applyNumberFormat="1" applyFont="1" applyBorder="1" applyAlignment="1">
      <alignment horizontal="center" vertical="center" wrapText="1"/>
    </xf>
    <xf numFmtId="43" fontId="77" fillId="0" borderId="0" xfId="58" applyFont="1" applyAlignment="1">
      <alignment vertical="center" wrapText="1"/>
    </xf>
    <xf numFmtId="203" fontId="77" fillId="0" borderId="0" xfId="58" applyNumberFormat="1" applyFont="1" applyAlignment="1">
      <alignment vertical="center" wrapText="1"/>
    </xf>
    <xf numFmtId="202" fontId="77" fillId="0" borderId="0" xfId="58" applyNumberFormat="1" applyFont="1" applyAlignment="1">
      <alignment vertical="center" wrapText="1"/>
    </xf>
    <xf numFmtId="178" fontId="0" fillId="0" borderId="0" xfId="0" applyNumberFormat="1" applyAlignment="1">
      <alignment/>
    </xf>
    <xf numFmtId="178" fontId="77" fillId="0" borderId="0" xfId="58" applyNumberFormat="1" applyFont="1" applyAlignment="1" quotePrefix="1">
      <alignment vertical="center" wrapText="1"/>
    </xf>
    <xf numFmtId="178" fontId="19" fillId="0" borderId="0" xfId="58" applyNumberFormat="1" applyFont="1" applyAlignment="1">
      <alignment horizontal="right" vertical="center" wrapText="1"/>
    </xf>
    <xf numFmtId="178" fontId="78" fillId="0" borderId="9" xfId="58" applyNumberFormat="1" applyFont="1" applyBorder="1" applyAlignment="1">
      <alignment horizontal="center" vertical="center" wrapText="1"/>
    </xf>
    <xf numFmtId="174" fontId="78" fillId="0" borderId="9" xfId="58" applyNumberFormat="1" applyFont="1" applyBorder="1" applyAlignment="1">
      <alignment horizontal="right" vertical="center" wrapText="1"/>
    </xf>
    <xf numFmtId="43" fontId="77" fillId="0" borderId="0" xfId="58" applyNumberFormat="1" applyFont="1" applyAlignment="1">
      <alignment vertical="center" wrapText="1"/>
    </xf>
    <xf numFmtId="171" fontId="77" fillId="0" borderId="0" xfId="0" applyNumberFormat="1" applyFont="1" applyAlignment="1">
      <alignment vertical="center" wrapText="1"/>
    </xf>
    <xf numFmtId="178" fontId="77" fillId="0" borderId="0" xfId="0" applyNumberFormat="1" applyFont="1" applyAlignment="1">
      <alignment vertical="center" wrapText="1"/>
    </xf>
    <xf numFmtId="10" fontId="77" fillId="0" borderId="0" xfId="0" applyNumberFormat="1" applyFont="1" applyAlignment="1">
      <alignment vertical="center" wrapText="1"/>
    </xf>
    <xf numFmtId="202" fontId="89" fillId="0" borderId="0" xfId="58" applyNumberFormat="1" applyFont="1" applyAlignment="1">
      <alignment vertical="center" wrapText="1"/>
    </xf>
    <xf numFmtId="178" fontId="71" fillId="0" borderId="9" xfId="58" applyNumberFormat="1" applyFont="1" applyFill="1" applyBorder="1" applyAlignment="1">
      <alignment horizontal="center" vertical="center" wrapText="1"/>
    </xf>
    <xf numFmtId="178" fontId="71" fillId="0" borderId="0" xfId="0" applyNumberFormat="1" applyFont="1" applyAlignment="1">
      <alignment wrapText="1"/>
    </xf>
    <xf numFmtId="2" fontId="71" fillId="0" borderId="0" xfId="0" applyNumberFormat="1" applyFont="1" applyAlignment="1">
      <alignment wrapText="1"/>
    </xf>
    <xf numFmtId="178" fontId="71" fillId="0" borderId="9" xfId="58" applyNumberFormat="1" applyFont="1" applyBorder="1" applyAlignment="1">
      <alignment vertical="center" wrapText="1"/>
    </xf>
    <xf numFmtId="0" fontId="20" fillId="0" borderId="9" xfId="103" applyFont="1" applyFill="1" applyBorder="1" applyAlignment="1">
      <alignment horizontal="center" vertical="center" wrapText="1"/>
      <protection/>
    </xf>
    <xf numFmtId="43" fontId="20" fillId="0" borderId="9" xfId="103" applyNumberFormat="1" applyFont="1" applyFill="1" applyBorder="1" applyAlignment="1">
      <alignment horizontal="center" vertical="center" wrapText="1"/>
      <protection/>
    </xf>
    <xf numFmtId="178" fontId="16" fillId="0" borderId="9" xfId="53" applyNumberFormat="1" applyFont="1" applyFill="1" applyBorder="1" applyAlignment="1">
      <alignment vertical="center" wrapText="1"/>
    </xf>
    <xf numFmtId="177" fontId="16" fillId="0" borderId="9" xfId="103" applyNumberFormat="1" applyFont="1" applyFill="1" applyBorder="1" applyAlignment="1">
      <alignment horizontal="center" vertical="center"/>
      <protection/>
    </xf>
    <xf numFmtId="177" fontId="20" fillId="0" borderId="9" xfId="103" applyNumberFormat="1" applyFont="1" applyFill="1" applyBorder="1" applyAlignment="1">
      <alignment horizontal="right" vertical="center"/>
      <protection/>
    </xf>
    <xf numFmtId="2" fontId="20" fillId="0" borderId="9" xfId="103" applyNumberFormat="1" applyFont="1" applyFill="1" applyBorder="1" applyAlignment="1">
      <alignment horizontal="right" vertical="center"/>
      <protection/>
    </xf>
    <xf numFmtId="0" fontId="20" fillId="0" borderId="9" xfId="103" applyFont="1" applyFill="1" applyBorder="1" applyAlignment="1">
      <alignment horizontal="right" vertical="center"/>
      <protection/>
    </xf>
    <xf numFmtId="2" fontId="73" fillId="0" borderId="9" xfId="103" applyNumberFormat="1" applyFont="1" applyFill="1" applyBorder="1" applyAlignment="1">
      <alignment horizontal="right" vertical="center"/>
      <protection/>
    </xf>
    <xf numFmtId="200" fontId="20" fillId="0" borderId="9" xfId="103" applyNumberFormat="1" applyFont="1" applyFill="1" applyBorder="1" applyAlignment="1">
      <alignment horizontal="right" vertical="center"/>
      <protection/>
    </xf>
    <xf numFmtId="0" fontId="20" fillId="0" borderId="9" xfId="103" applyFont="1" applyFill="1" applyBorder="1" applyAlignment="1">
      <alignment vertical="center"/>
      <protection/>
    </xf>
    <xf numFmtId="174" fontId="20" fillId="0" borderId="9" xfId="53" applyNumberFormat="1" applyFont="1" applyFill="1" applyBorder="1" applyAlignment="1">
      <alignment vertical="center" wrapText="1"/>
    </xf>
    <xf numFmtId="43" fontId="16" fillId="0" borderId="9" xfId="53" applyNumberFormat="1" applyFont="1" applyFill="1" applyBorder="1" applyAlignment="1">
      <alignment horizontal="center" vertical="center"/>
    </xf>
    <xf numFmtId="0" fontId="73" fillId="0" borderId="9" xfId="103" applyFont="1" applyFill="1" applyBorder="1" applyAlignment="1">
      <alignment horizontal="center" vertical="center"/>
      <protection/>
    </xf>
    <xf numFmtId="0" fontId="73" fillId="0" borderId="9" xfId="103" applyFont="1" applyFill="1" applyBorder="1" applyAlignment="1">
      <alignment horizontal="left" vertical="center" wrapText="1"/>
      <protection/>
    </xf>
    <xf numFmtId="174" fontId="73" fillId="0" borderId="9" xfId="53" applyNumberFormat="1" applyFont="1" applyFill="1" applyBorder="1" applyAlignment="1">
      <alignment horizontal="center" vertical="center" wrapText="1"/>
    </xf>
    <xf numFmtId="3" fontId="73" fillId="0" borderId="9" xfId="103" applyNumberFormat="1" applyFont="1" applyFill="1" applyBorder="1" applyAlignment="1">
      <alignment vertical="center"/>
      <protection/>
    </xf>
    <xf numFmtId="3" fontId="16" fillId="0" borderId="9" xfId="103" applyNumberFormat="1" applyFont="1" applyFill="1" applyBorder="1" applyAlignment="1">
      <alignment horizontal="right" vertical="center"/>
      <protection/>
    </xf>
    <xf numFmtId="3" fontId="16" fillId="0" borderId="9" xfId="103" applyNumberFormat="1" applyFont="1" applyFill="1" applyBorder="1" applyAlignment="1">
      <alignment vertical="center"/>
      <protection/>
    </xf>
    <xf numFmtId="4" fontId="16" fillId="0" borderId="9" xfId="103" applyNumberFormat="1" applyFont="1" applyFill="1" applyBorder="1" applyAlignment="1">
      <alignment vertical="center"/>
      <protection/>
    </xf>
    <xf numFmtId="178" fontId="16" fillId="0" borderId="9" xfId="53" applyNumberFormat="1" applyFont="1" applyFill="1" applyBorder="1" applyAlignment="1">
      <alignment horizontal="right" vertical="center" wrapText="1"/>
    </xf>
    <xf numFmtId="203" fontId="73" fillId="0" borderId="9" xfId="51" applyNumberFormat="1" applyFont="1" applyFill="1" applyBorder="1" applyAlignment="1">
      <alignment horizontal="center" vertical="center"/>
    </xf>
    <xf numFmtId="174" fontId="20" fillId="0" borderId="9" xfId="58" applyNumberFormat="1" applyFont="1" applyFill="1" applyBorder="1" applyAlignment="1" quotePrefix="1">
      <alignment horizontal="center" vertical="center" wrapText="1"/>
    </xf>
    <xf numFmtId="4" fontId="20" fillId="0" borderId="9" xfId="58" applyNumberFormat="1" applyFont="1" applyFill="1" applyBorder="1" applyAlignment="1" quotePrefix="1">
      <alignment horizontal="center" vertical="center"/>
    </xf>
    <xf numFmtId="3" fontId="60" fillId="0" borderId="0" xfId="0" applyNumberFormat="1" applyFont="1" applyFill="1" applyAlignment="1">
      <alignment vertical="center"/>
    </xf>
    <xf numFmtId="3" fontId="16" fillId="0" borderId="9" xfId="58" applyNumberFormat="1" applyFont="1" applyFill="1" applyBorder="1" applyAlignment="1">
      <alignment vertical="center" wrapText="1"/>
    </xf>
    <xf numFmtId="3" fontId="20" fillId="0" borderId="9" xfId="58" applyNumberFormat="1" applyFont="1" applyFill="1" applyBorder="1" applyAlignment="1">
      <alignment vertical="center" wrapText="1"/>
    </xf>
    <xf numFmtId="43" fontId="20" fillId="0" borderId="9" xfId="58" applyNumberFormat="1" applyFont="1" applyFill="1" applyBorder="1" applyAlignment="1">
      <alignment vertical="center" wrapText="1"/>
    </xf>
    <xf numFmtId="174" fontId="16" fillId="0" borderId="9" xfId="58" applyNumberFormat="1" applyFont="1" applyFill="1" applyBorder="1" applyAlignment="1">
      <alignment vertical="center" wrapText="1"/>
    </xf>
    <xf numFmtId="174" fontId="20" fillId="0" borderId="9" xfId="58" applyNumberFormat="1" applyFont="1" applyFill="1" applyBorder="1" applyAlignment="1">
      <alignment vertical="center" wrapText="1"/>
    </xf>
    <xf numFmtId="179" fontId="61" fillId="0" borderId="0" xfId="0" applyNumberFormat="1" applyFont="1" applyFill="1" applyAlignment="1">
      <alignment horizontal="right" vertical="center"/>
    </xf>
    <xf numFmtId="204" fontId="61" fillId="0" borderId="0" xfId="0" applyNumberFormat="1" applyFont="1" applyFill="1" applyAlignment="1">
      <alignment horizontal="right" vertical="center"/>
    </xf>
    <xf numFmtId="0" fontId="91" fillId="0" borderId="37" xfId="0" applyFont="1" applyFill="1" applyBorder="1" applyAlignment="1">
      <alignment horizontal="right" vertical="center"/>
    </xf>
    <xf numFmtId="0" fontId="20" fillId="0" borderId="0" xfId="103" applyFont="1" applyFill="1" applyAlignment="1">
      <alignment vertical="center"/>
      <protection/>
    </xf>
    <xf numFmtId="0" fontId="20" fillId="0" borderId="0" xfId="103" applyFont="1" applyFill="1" applyAlignment="1">
      <alignment vertical="center" wrapText="1"/>
      <protection/>
    </xf>
    <xf numFmtId="0" fontId="20" fillId="0" borderId="0" xfId="103" applyFont="1" applyFill="1" applyAlignment="1">
      <alignment horizontal="center" vertical="center" wrapText="1"/>
      <protection/>
    </xf>
    <xf numFmtId="49" fontId="16" fillId="0" borderId="26" xfId="103" applyNumberFormat="1" applyFont="1" applyFill="1" applyBorder="1" applyAlignment="1">
      <alignment horizontal="center" vertical="center" wrapText="1"/>
      <protection/>
    </xf>
    <xf numFmtId="0" fontId="16" fillId="0" borderId="26" xfId="103" applyFont="1" applyFill="1" applyBorder="1" applyAlignment="1">
      <alignment horizontal="center" vertical="center" wrapText="1"/>
      <protection/>
    </xf>
    <xf numFmtId="0" fontId="16" fillId="0" borderId="0" xfId="103" applyFont="1" applyFill="1" applyAlignment="1">
      <alignment vertical="center" wrapText="1"/>
      <protection/>
    </xf>
    <xf numFmtId="49" fontId="16" fillId="0" borderId="17" xfId="103" applyNumberFormat="1" applyFont="1" applyFill="1" applyBorder="1" applyAlignment="1">
      <alignment horizontal="center" vertical="center"/>
      <protection/>
    </xf>
    <xf numFmtId="0" fontId="16" fillId="0" borderId="17" xfId="103" applyFont="1" applyFill="1" applyBorder="1" applyAlignment="1">
      <alignment horizontal="left" vertical="center" wrapText="1"/>
      <protection/>
    </xf>
    <xf numFmtId="0" fontId="16" fillId="0" borderId="17" xfId="103" applyFont="1" applyFill="1" applyBorder="1" applyAlignment="1">
      <alignment horizontal="center" vertical="center" wrapText="1"/>
      <protection/>
    </xf>
    <xf numFmtId="3" fontId="16" fillId="0" borderId="17" xfId="103" applyNumberFormat="1" applyFont="1" applyFill="1" applyBorder="1" applyAlignment="1">
      <alignment horizontal="center" vertical="center" wrapText="1"/>
      <protection/>
    </xf>
    <xf numFmtId="175" fontId="16" fillId="0" borderId="17" xfId="103" applyNumberFormat="1" applyFont="1" applyFill="1" applyBorder="1" applyAlignment="1">
      <alignment horizontal="right" vertical="center" wrapText="1"/>
      <protection/>
    </xf>
    <xf numFmtId="0" fontId="20" fillId="0" borderId="22" xfId="103" applyFont="1" applyFill="1" applyBorder="1" applyAlignment="1" quotePrefix="1">
      <alignment horizontal="center" vertical="center" wrapText="1"/>
      <protection/>
    </xf>
    <xf numFmtId="175" fontId="20" fillId="0" borderId="22" xfId="103" applyNumberFormat="1" applyFont="1" applyFill="1" applyBorder="1" applyAlignment="1">
      <alignment horizontal="center" vertical="center" wrapText="1"/>
      <protection/>
    </xf>
    <xf numFmtId="175" fontId="16" fillId="0" borderId="22" xfId="103" applyNumberFormat="1" applyFont="1" applyFill="1" applyBorder="1" applyAlignment="1">
      <alignment horizontal="right" vertical="center" wrapText="1"/>
      <protection/>
    </xf>
    <xf numFmtId="175" fontId="20" fillId="0" borderId="22" xfId="103" applyNumberFormat="1" applyFont="1" applyFill="1" applyBorder="1" applyAlignment="1" quotePrefix="1">
      <alignment horizontal="center" vertical="center" wrapText="1"/>
      <protection/>
    </xf>
    <xf numFmtId="175" fontId="20" fillId="0" borderId="9" xfId="103" applyNumberFormat="1" applyFont="1" applyFill="1" applyBorder="1" applyAlignment="1">
      <alignment horizontal="right" vertical="center" wrapText="1"/>
      <protection/>
    </xf>
    <xf numFmtId="9" fontId="20" fillId="0" borderId="9" xfId="103" applyNumberFormat="1" applyFont="1" applyFill="1" applyBorder="1" applyAlignment="1">
      <alignment horizontal="center" vertical="center" wrapText="1"/>
      <protection/>
    </xf>
    <xf numFmtId="175" fontId="20" fillId="0" borderId="9" xfId="103" applyNumberFormat="1" applyFont="1" applyFill="1" applyBorder="1" applyAlignment="1">
      <alignment horizontal="center" vertical="center" wrapText="1"/>
      <protection/>
    </xf>
    <xf numFmtId="49" fontId="20" fillId="0" borderId="0" xfId="103" applyNumberFormat="1" applyFont="1" applyFill="1" applyAlignment="1">
      <alignment horizontal="center" vertical="center"/>
      <protection/>
    </xf>
    <xf numFmtId="0" fontId="20" fillId="0" borderId="0" xfId="103" applyFont="1" applyFill="1" applyAlignment="1">
      <alignment horizontal="center" vertical="center"/>
      <protection/>
    </xf>
    <xf numFmtId="0" fontId="61" fillId="0" borderId="0" xfId="103" applyFont="1" applyFill="1" applyAlignment="1">
      <alignment vertical="center" wrapText="1"/>
      <protection/>
    </xf>
    <xf numFmtId="175" fontId="16" fillId="0" borderId="9" xfId="53" applyNumberFormat="1" applyFont="1" applyFill="1" applyBorder="1" applyAlignment="1">
      <alignment horizontal="center" vertical="center"/>
    </xf>
    <xf numFmtId="174" fontId="20" fillId="0" borderId="0" xfId="53" applyNumberFormat="1" applyFont="1" applyFill="1" applyAlignment="1">
      <alignment horizontal="center" vertical="center"/>
    </xf>
    <xf numFmtId="175" fontId="20" fillId="0" borderId="0" xfId="53" applyNumberFormat="1" applyFont="1" applyFill="1" applyAlignment="1">
      <alignment vertical="center"/>
    </xf>
    <xf numFmtId="0" fontId="20" fillId="0" borderId="0" xfId="103" applyFont="1" applyFill="1" applyAlignment="1">
      <alignment horizontal="left" vertical="center"/>
      <protection/>
    </xf>
    <xf numFmtId="0" fontId="21" fillId="0" borderId="0" xfId="103" applyFont="1" applyFill="1" applyAlignment="1">
      <alignment horizontal="right" vertical="center"/>
      <protection/>
    </xf>
    <xf numFmtId="0" fontId="21" fillId="0" borderId="0" xfId="103" applyFont="1" applyFill="1" applyAlignment="1">
      <alignment horizontal="left" vertical="center"/>
      <protection/>
    </xf>
    <xf numFmtId="174" fontId="16" fillId="0" borderId="9" xfId="53" applyNumberFormat="1" applyFont="1" applyFill="1" applyBorder="1" applyAlignment="1">
      <alignment horizontal="center" vertical="center"/>
    </xf>
    <xf numFmtId="175" fontId="16" fillId="0" borderId="9" xfId="53" applyNumberFormat="1" applyFont="1" applyFill="1" applyBorder="1" applyAlignment="1">
      <alignment horizontal="left" vertical="center"/>
    </xf>
    <xf numFmtId="0" fontId="16" fillId="0" borderId="9" xfId="103" applyFont="1" applyFill="1" applyBorder="1" applyAlignment="1">
      <alignment vertical="center"/>
      <protection/>
    </xf>
    <xf numFmtId="0" fontId="61" fillId="0" borderId="0" xfId="103" applyFont="1" applyFill="1" applyAlignment="1">
      <alignment horizontal="right" vertical="center"/>
      <protection/>
    </xf>
    <xf numFmtId="0" fontId="61" fillId="0" borderId="0" xfId="103" applyFont="1" applyFill="1" applyAlignment="1">
      <alignment horizontal="left" vertical="center"/>
      <protection/>
    </xf>
    <xf numFmtId="0" fontId="20" fillId="0" borderId="9" xfId="103" applyFont="1" applyFill="1" applyBorder="1" applyAlignment="1">
      <alignment horizontal="center" vertical="top"/>
      <protection/>
    </xf>
    <xf numFmtId="43" fontId="20" fillId="0" borderId="9" xfId="53" applyNumberFormat="1" applyFont="1" applyFill="1" applyBorder="1" applyAlignment="1">
      <alignment horizontal="center" vertical="center"/>
    </xf>
    <xf numFmtId="2" fontId="20" fillId="0" borderId="9" xfId="103" applyNumberFormat="1" applyFont="1" applyFill="1" applyBorder="1" applyAlignment="1">
      <alignment horizontal="center" vertical="center"/>
      <protection/>
    </xf>
    <xf numFmtId="0" fontId="61" fillId="0" borderId="0" xfId="103" applyFont="1" applyFill="1" applyBorder="1" applyAlignment="1">
      <alignment vertical="center"/>
      <protection/>
    </xf>
    <xf numFmtId="0" fontId="61" fillId="0" borderId="0" xfId="103" applyFont="1" applyFill="1" applyBorder="1" applyAlignment="1">
      <alignment horizontal="left" vertical="center"/>
      <protection/>
    </xf>
    <xf numFmtId="0" fontId="61" fillId="0" borderId="0" xfId="103" applyFont="1" applyFill="1" applyBorder="1" applyAlignment="1">
      <alignment horizontal="right" vertical="center"/>
      <protection/>
    </xf>
    <xf numFmtId="0" fontId="20" fillId="0" borderId="9" xfId="103" applyFont="1" applyFill="1" applyBorder="1" applyAlignment="1" quotePrefix="1">
      <alignment vertical="center" wrapText="1"/>
      <protection/>
    </xf>
    <xf numFmtId="2" fontId="20" fillId="0" borderId="9" xfId="128" applyNumberFormat="1" applyFont="1" applyFill="1" applyBorder="1" applyAlignment="1">
      <alignment horizontal="center" vertical="center"/>
    </xf>
    <xf numFmtId="0" fontId="16" fillId="0" borderId="0" xfId="103" applyFont="1" applyFill="1" applyAlignment="1">
      <alignment vertical="center"/>
      <protection/>
    </xf>
    <xf numFmtId="0" fontId="73" fillId="0" borderId="0" xfId="103" applyFont="1" applyFill="1" applyAlignment="1">
      <alignment vertical="center"/>
      <protection/>
    </xf>
    <xf numFmtId="174" fontId="21" fillId="0" borderId="9" xfId="53" applyNumberFormat="1" applyFont="1" applyFill="1" applyBorder="1" applyAlignment="1">
      <alignment horizontal="center" vertical="center" wrapText="1"/>
    </xf>
    <xf numFmtId="3" fontId="21" fillId="0" borderId="9" xfId="53" applyNumberFormat="1" applyFont="1" applyFill="1" applyBorder="1" applyAlignment="1">
      <alignment horizontal="center" vertical="center"/>
    </xf>
    <xf numFmtId="177" fontId="21" fillId="0" borderId="9" xfId="53" applyNumberFormat="1" applyFont="1" applyFill="1" applyBorder="1" applyAlignment="1">
      <alignment horizontal="center" vertical="center"/>
    </xf>
    <xf numFmtId="3" fontId="21" fillId="0" borderId="9" xfId="53" applyNumberFormat="1" applyFont="1" applyFill="1" applyBorder="1" applyAlignment="1">
      <alignment horizontal="center" vertical="center" wrapText="1"/>
    </xf>
    <xf numFmtId="3" fontId="16" fillId="0" borderId="9" xfId="51" applyNumberFormat="1" applyFont="1" applyFill="1" applyBorder="1" applyAlignment="1">
      <alignment horizontal="center" vertical="center"/>
    </xf>
    <xf numFmtId="0" fontId="61" fillId="0" borderId="0" xfId="0" applyFont="1" applyFill="1" applyAlignment="1">
      <alignment vertical="center"/>
    </xf>
    <xf numFmtId="205" fontId="60" fillId="0" borderId="0" xfId="0" applyNumberFormat="1" applyFont="1" applyFill="1" applyAlignment="1">
      <alignment vertical="center"/>
    </xf>
    <xf numFmtId="43" fontId="61" fillId="0" borderId="0" xfId="51" applyFont="1" applyFill="1" applyAlignment="1">
      <alignment vertical="center"/>
    </xf>
    <xf numFmtId="202" fontId="20" fillId="0" borderId="9" xfId="51" applyNumberFormat="1" applyFont="1" applyFill="1" applyBorder="1" applyAlignment="1">
      <alignment horizontal="center" vertical="center"/>
    </xf>
    <xf numFmtId="0" fontId="21" fillId="0" borderId="0" xfId="0" applyFont="1" applyFill="1" applyAlignment="1">
      <alignment vertical="center"/>
    </xf>
    <xf numFmtId="0" fontId="16" fillId="0" borderId="0" xfId="116" applyFont="1" applyFill="1" applyAlignment="1">
      <alignment horizontal="center" vertical="center"/>
      <protection/>
    </xf>
    <xf numFmtId="171" fontId="61" fillId="0" borderId="0" xfId="0" applyNumberFormat="1" applyFont="1" applyFill="1" applyAlignment="1">
      <alignment vertical="center"/>
    </xf>
    <xf numFmtId="0" fontId="21" fillId="0" borderId="0" xfId="116" applyFont="1" applyFill="1" applyAlignment="1">
      <alignment vertical="center"/>
      <protection/>
    </xf>
    <xf numFmtId="0" fontId="20" fillId="0" borderId="1" xfId="116" applyFont="1" applyFill="1" applyBorder="1" applyAlignment="1">
      <alignment horizontal="center" vertical="center"/>
      <protection/>
    </xf>
    <xf numFmtId="49" fontId="20" fillId="0" borderId="1" xfId="116" applyNumberFormat="1" applyFont="1" applyFill="1" applyBorder="1" applyAlignment="1">
      <alignment vertical="center" wrapText="1"/>
      <protection/>
    </xf>
    <xf numFmtId="175" fontId="20" fillId="0" borderId="0" xfId="116" applyNumberFormat="1" applyFont="1" applyFill="1" applyAlignment="1">
      <alignment vertical="center" wrapText="1"/>
      <protection/>
    </xf>
    <xf numFmtId="49" fontId="20" fillId="0" borderId="0" xfId="116" applyNumberFormat="1" applyFont="1" applyFill="1" applyAlignment="1">
      <alignment vertical="center" wrapText="1"/>
      <protection/>
    </xf>
    <xf numFmtId="43" fontId="20" fillId="0" borderId="0" xfId="62" applyFont="1" applyFill="1" applyAlignment="1">
      <alignment vertical="center"/>
    </xf>
    <xf numFmtId="43" fontId="73" fillId="0" borderId="1" xfId="62" applyFont="1" applyFill="1" applyBorder="1" applyAlignment="1">
      <alignment vertical="center"/>
    </xf>
    <xf numFmtId="43" fontId="73" fillId="0" borderId="1" xfId="62" applyFont="1" applyFill="1" applyBorder="1" applyAlignment="1">
      <alignment horizontal="right" vertical="center"/>
    </xf>
    <xf numFmtId="174" fontId="20" fillId="0" borderId="0" xfId="53" applyNumberFormat="1" applyFont="1" applyFill="1" applyAlignment="1">
      <alignment vertical="center"/>
    </xf>
    <xf numFmtId="174" fontId="21" fillId="0" borderId="0" xfId="116" applyNumberFormat="1" applyFont="1" applyFill="1" applyAlignment="1">
      <alignment vertical="center"/>
      <protection/>
    </xf>
    <xf numFmtId="0" fontId="16" fillId="0" borderId="9" xfId="116" applyFont="1" applyFill="1" applyBorder="1" applyAlignment="1">
      <alignment horizontal="center" vertical="center" wrapText="1"/>
      <protection/>
    </xf>
    <xf numFmtId="49" fontId="16" fillId="0" borderId="9" xfId="116" applyNumberFormat="1" applyFont="1" applyFill="1" applyBorder="1" applyAlignment="1">
      <alignment horizontal="center" vertical="center" wrapText="1"/>
      <protection/>
    </xf>
    <xf numFmtId="0" fontId="61" fillId="0" borderId="0" xfId="116" applyFont="1" applyFill="1" applyAlignment="1">
      <alignment vertical="center" wrapText="1"/>
      <protection/>
    </xf>
    <xf numFmtId="178" fontId="16" fillId="0" borderId="0" xfId="53" applyNumberFormat="1" applyFont="1" applyFill="1" applyBorder="1" applyAlignment="1">
      <alignment vertical="center"/>
    </xf>
    <xf numFmtId="0" fontId="61" fillId="0" borderId="0" xfId="116" applyFont="1" applyFill="1" applyAlignment="1">
      <alignment vertical="center"/>
      <protection/>
    </xf>
    <xf numFmtId="174" fontId="16" fillId="0" borderId="0" xfId="53" applyNumberFormat="1" applyFont="1" applyFill="1" applyBorder="1" applyAlignment="1">
      <alignment vertical="center"/>
    </xf>
    <xf numFmtId="0" fontId="42" fillId="0" borderId="0" xfId="116" applyFont="1" applyFill="1" applyAlignment="1">
      <alignment vertical="center"/>
      <protection/>
    </xf>
    <xf numFmtId="174" fontId="20" fillId="0" borderId="0" xfId="53" applyNumberFormat="1" applyFont="1" applyFill="1" applyBorder="1" applyAlignment="1">
      <alignment vertical="center"/>
    </xf>
    <xf numFmtId="0" fontId="16" fillId="0" borderId="9" xfId="116" applyFont="1" applyFill="1" applyBorder="1" applyAlignment="1">
      <alignment horizontal="center" vertical="center"/>
      <protection/>
    </xf>
    <xf numFmtId="49" fontId="16" fillId="0" borderId="9" xfId="116" applyNumberFormat="1" applyFont="1" applyFill="1" applyBorder="1" applyAlignment="1">
      <alignment vertical="center" wrapText="1"/>
      <protection/>
    </xf>
    <xf numFmtId="174" fontId="61" fillId="0" borderId="9" xfId="51" applyNumberFormat="1" applyFont="1" applyFill="1" applyBorder="1" applyAlignment="1">
      <alignment horizontal="right" vertical="center" wrapText="1"/>
    </xf>
    <xf numFmtId="205" fontId="61" fillId="0" borderId="0" xfId="116" applyNumberFormat="1" applyFont="1" applyFill="1" applyAlignment="1">
      <alignment vertical="center"/>
      <protection/>
    </xf>
    <xf numFmtId="0" fontId="73" fillId="0" borderId="9" xfId="116" applyFont="1" applyFill="1" applyBorder="1" applyAlignment="1">
      <alignment horizontal="center" vertical="center"/>
      <protection/>
    </xf>
    <xf numFmtId="49" fontId="73" fillId="0" borderId="9" xfId="116" applyNumberFormat="1" applyFont="1" applyFill="1" applyBorder="1" applyAlignment="1">
      <alignment horizontal="left" vertical="center" wrapText="1"/>
      <protection/>
    </xf>
    <xf numFmtId="174" fontId="60" fillId="0" borderId="9" xfId="51" applyNumberFormat="1" applyFont="1" applyFill="1" applyBorder="1" applyAlignment="1">
      <alignment horizontal="right" vertical="center" wrapText="1"/>
    </xf>
    <xf numFmtId="175" fontId="96" fillId="0" borderId="9" xfId="51" applyNumberFormat="1" applyFont="1" applyFill="1" applyBorder="1" applyAlignment="1">
      <alignment horizontal="left" vertical="center"/>
    </xf>
    <xf numFmtId="0" fontId="60" fillId="0" borderId="0" xfId="116" applyFont="1" applyFill="1" applyAlignment="1">
      <alignment vertical="center"/>
      <protection/>
    </xf>
    <xf numFmtId="171" fontId="60" fillId="0" borderId="0" xfId="116" applyNumberFormat="1" applyFont="1" applyFill="1" applyAlignment="1">
      <alignment vertical="center"/>
      <protection/>
    </xf>
    <xf numFmtId="0" fontId="20" fillId="0" borderId="9" xfId="116" applyFont="1" applyFill="1" applyBorder="1" applyAlignment="1">
      <alignment horizontal="center" vertical="center"/>
      <protection/>
    </xf>
    <xf numFmtId="49" fontId="20" fillId="0" borderId="9" xfId="116" applyNumberFormat="1" applyFont="1" applyFill="1" applyBorder="1" applyAlignment="1">
      <alignment vertical="center" wrapText="1"/>
      <protection/>
    </xf>
    <xf numFmtId="174" fontId="21" fillId="0" borderId="9" xfId="51" applyNumberFormat="1" applyFont="1" applyFill="1" applyBorder="1" applyAlignment="1">
      <alignment horizontal="right" vertical="center" wrapText="1"/>
    </xf>
    <xf numFmtId="3" fontId="41" fillId="0" borderId="9" xfId="51" applyNumberFormat="1" applyFont="1" applyFill="1" applyBorder="1" applyAlignment="1">
      <alignment horizontal="left" vertical="center"/>
    </xf>
    <xf numFmtId="174" fontId="21" fillId="0" borderId="9" xfId="51" applyNumberFormat="1" applyFont="1" applyFill="1" applyBorder="1" applyAlignment="1">
      <alignment horizontal="right" vertical="center" wrapText="1"/>
    </xf>
    <xf numFmtId="3" fontId="41" fillId="0" borderId="9" xfId="51" applyNumberFormat="1" applyFont="1" applyFill="1" applyBorder="1" applyAlignment="1">
      <alignment horizontal="center" vertical="center"/>
    </xf>
    <xf numFmtId="49" fontId="73" fillId="0" borderId="9" xfId="116" applyNumberFormat="1" applyFont="1" applyFill="1" applyBorder="1" applyAlignment="1">
      <alignment vertical="center" wrapText="1"/>
      <protection/>
    </xf>
    <xf numFmtId="43" fontId="21" fillId="0" borderId="9" xfId="51" applyNumberFormat="1" applyFont="1" applyFill="1" applyBorder="1" applyAlignment="1">
      <alignment horizontal="right" vertical="center" wrapText="1"/>
    </xf>
    <xf numFmtId="175" fontId="16" fillId="0" borderId="9" xfId="62" applyNumberFormat="1" applyFont="1" applyFill="1" applyBorder="1" applyAlignment="1">
      <alignment vertical="center"/>
    </xf>
    <xf numFmtId="49" fontId="20" fillId="0" borderId="9" xfId="116" applyNumberFormat="1" applyFont="1" applyFill="1" applyBorder="1" applyAlignment="1">
      <alignment horizontal="left" vertical="center" wrapText="1"/>
      <protection/>
    </xf>
    <xf numFmtId="43" fontId="60" fillId="0" borderId="9" xfId="51" applyNumberFormat="1" applyFont="1" applyFill="1" applyBorder="1" applyAlignment="1">
      <alignment horizontal="right" vertical="center" wrapText="1"/>
    </xf>
    <xf numFmtId="175" fontId="73" fillId="0" borderId="9" xfId="116" applyNumberFormat="1" applyFont="1" applyFill="1" applyBorder="1" applyAlignment="1">
      <alignment vertical="center" wrapText="1"/>
      <protection/>
    </xf>
    <xf numFmtId="175" fontId="16" fillId="0" borderId="9" xfId="116" applyNumberFormat="1" applyFont="1" applyFill="1" applyBorder="1" applyAlignment="1">
      <alignment vertical="center" wrapText="1"/>
      <protection/>
    </xf>
    <xf numFmtId="175" fontId="20" fillId="0" borderId="9" xfId="116" applyNumberFormat="1" applyFont="1" applyFill="1" applyBorder="1" applyAlignment="1">
      <alignment vertical="center" wrapText="1"/>
      <protection/>
    </xf>
    <xf numFmtId="175" fontId="98" fillId="0" borderId="9" xfId="62" applyNumberFormat="1" applyFont="1" applyFill="1" applyBorder="1" applyAlignment="1">
      <alignment vertical="center"/>
    </xf>
    <xf numFmtId="175" fontId="20" fillId="0" borderId="9" xfId="62" applyNumberFormat="1" applyFont="1" applyFill="1" applyBorder="1" applyAlignment="1">
      <alignment vertical="center"/>
    </xf>
    <xf numFmtId="0" fontId="20" fillId="0" borderId="0" xfId="116" applyFont="1" applyFill="1" applyAlignment="1">
      <alignment horizontal="center" vertical="center"/>
      <protection/>
    </xf>
    <xf numFmtId="0" fontId="99" fillId="0" borderId="0" xfId="116" applyFont="1" applyFill="1" applyAlignment="1">
      <alignment horizontal="center" vertical="center"/>
      <protection/>
    </xf>
    <xf numFmtId="0" fontId="20" fillId="0" borderId="0" xfId="116" applyFont="1" applyFill="1" applyAlignment="1">
      <alignment vertical="center"/>
      <protection/>
    </xf>
    <xf numFmtId="49" fontId="20" fillId="0" borderId="0" xfId="116" applyNumberFormat="1" applyFont="1" applyFill="1" applyAlignment="1">
      <alignment horizontal="left" vertical="center"/>
      <protection/>
    </xf>
    <xf numFmtId="175" fontId="20" fillId="0" borderId="0" xfId="116" applyNumberFormat="1" applyFont="1" applyFill="1" applyAlignment="1">
      <alignment horizontal="left" vertical="center"/>
      <protection/>
    </xf>
    <xf numFmtId="4" fontId="20" fillId="0" borderId="0" xfId="116" applyNumberFormat="1" applyFont="1" applyFill="1" applyAlignment="1">
      <alignment horizontal="left" vertical="center"/>
      <protection/>
    </xf>
    <xf numFmtId="174" fontId="20" fillId="0" borderId="0" xfId="53" applyNumberFormat="1" applyFont="1" applyFill="1" applyAlignment="1">
      <alignment horizontal="left" vertical="center"/>
    </xf>
    <xf numFmtId="0" fontId="21" fillId="0" borderId="0" xfId="116" applyFont="1" applyFill="1" applyAlignment="1">
      <alignment horizontal="center" vertical="center"/>
      <protection/>
    </xf>
    <xf numFmtId="49" fontId="21" fillId="0" borderId="0" xfId="116" applyNumberFormat="1" applyFont="1" applyFill="1" applyAlignment="1">
      <alignment vertical="center" wrapText="1"/>
      <protection/>
    </xf>
    <xf numFmtId="175" fontId="21" fillId="0" borderId="0" xfId="116" applyNumberFormat="1" applyFont="1" applyFill="1" applyAlignment="1">
      <alignment vertical="center" wrapText="1"/>
      <protection/>
    </xf>
    <xf numFmtId="43" fontId="21" fillId="0" borderId="0" xfId="62" applyFont="1" applyFill="1" applyAlignment="1">
      <alignment vertical="center"/>
    </xf>
    <xf numFmtId="174" fontId="21" fillId="0" borderId="0" xfId="53" applyNumberFormat="1" applyFont="1" applyFill="1" applyAlignment="1">
      <alignment vertical="center"/>
    </xf>
    <xf numFmtId="4" fontId="20" fillId="0" borderId="9" xfId="51" applyNumberFormat="1" applyFont="1" applyFill="1" applyBorder="1" applyAlignment="1">
      <alignment horizontal="center" vertical="center"/>
    </xf>
    <xf numFmtId="207" fontId="20" fillId="0" borderId="9" xfId="51" applyNumberFormat="1" applyFont="1" applyFill="1" applyBorder="1" applyAlignment="1">
      <alignment horizontal="center" vertical="center"/>
    </xf>
    <xf numFmtId="43" fontId="20" fillId="0" borderId="9" xfId="51" applyNumberFormat="1" applyFont="1" applyFill="1" applyBorder="1" applyAlignment="1">
      <alignment horizontal="center" vertical="center"/>
    </xf>
    <xf numFmtId="174" fontId="20" fillId="0" borderId="0" xfId="51" applyNumberFormat="1" applyFont="1" applyFill="1" applyAlignment="1">
      <alignment horizontal="center" vertical="center"/>
    </xf>
    <xf numFmtId="175" fontId="20" fillId="0" borderId="0" xfId="51" applyNumberFormat="1" applyFont="1" applyFill="1" applyAlignment="1">
      <alignment vertical="center"/>
    </xf>
    <xf numFmtId="0" fontId="61" fillId="0" borderId="9" xfId="0" applyFont="1" applyFill="1" applyBorder="1" applyAlignment="1">
      <alignment horizontal="center" vertical="center" wrapText="1"/>
    </xf>
    <xf numFmtId="0" fontId="61" fillId="0" borderId="9" xfId="0" applyFont="1" applyFill="1" applyBorder="1" applyAlignment="1">
      <alignment horizontal="center" vertical="center"/>
    </xf>
    <xf numFmtId="0" fontId="61" fillId="0" borderId="9" xfId="0" applyFont="1" applyFill="1" applyBorder="1" applyAlignment="1">
      <alignment horizontal="center" vertical="center" wrapText="1"/>
    </xf>
    <xf numFmtId="0" fontId="60" fillId="0" borderId="9" xfId="0" applyFont="1" applyFill="1" applyBorder="1" applyAlignment="1">
      <alignment horizontal="center" vertical="center"/>
    </xf>
    <xf numFmtId="0" fontId="21" fillId="0" borderId="9" xfId="0" applyFont="1" applyFill="1" applyBorder="1" applyAlignment="1">
      <alignment horizontal="center" vertical="center" wrapText="1"/>
    </xf>
    <xf numFmtId="0" fontId="61" fillId="0" borderId="9" xfId="0" applyFont="1" applyFill="1" applyBorder="1" applyAlignment="1">
      <alignment horizontal="center" vertical="center"/>
    </xf>
    <xf numFmtId="0" fontId="61" fillId="0" borderId="9" xfId="0" applyFont="1" applyFill="1" applyBorder="1" applyAlignment="1">
      <alignment vertical="center" wrapText="1"/>
    </xf>
    <xf numFmtId="0" fontId="21" fillId="0" borderId="9" xfId="0" applyFont="1" applyFill="1" applyBorder="1" applyAlignment="1">
      <alignment horizontal="center" vertical="center"/>
    </xf>
    <xf numFmtId="205" fontId="21" fillId="0" borderId="0" xfId="0" applyNumberFormat="1" applyFont="1" applyFill="1" applyAlignment="1">
      <alignment vertical="center"/>
    </xf>
    <xf numFmtId="209" fontId="61" fillId="0" borderId="0" xfId="0" applyNumberFormat="1" applyFont="1" applyFill="1" applyAlignment="1">
      <alignment vertical="center"/>
    </xf>
    <xf numFmtId="177" fontId="20" fillId="0" borderId="9" xfId="103" applyNumberFormat="1" applyFont="1" applyFill="1" applyBorder="1" applyAlignment="1">
      <alignment horizontal="center" vertical="center"/>
      <protection/>
    </xf>
    <xf numFmtId="0" fontId="16" fillId="0" borderId="9" xfId="103" applyFont="1" applyFill="1" applyBorder="1" applyAlignment="1">
      <alignment horizontal="right" vertical="center" wrapText="1"/>
      <protection/>
    </xf>
    <xf numFmtId="4" fontId="61" fillId="0" borderId="15" xfId="103" applyNumberFormat="1" applyFont="1" applyFill="1" applyBorder="1" applyAlignment="1">
      <alignment horizontal="right" vertical="center" wrapText="1"/>
      <protection/>
    </xf>
    <xf numFmtId="4" fontId="21" fillId="0" borderId="9" xfId="103" applyNumberFormat="1" applyFont="1" applyFill="1" applyBorder="1" applyAlignment="1">
      <alignment horizontal="right" vertical="center" wrapText="1"/>
      <protection/>
    </xf>
    <xf numFmtId="0" fontId="20" fillId="0" borderId="1" xfId="0" applyFont="1" applyFill="1" applyBorder="1" applyAlignment="1">
      <alignment horizontal="center" vertical="center"/>
    </xf>
    <xf numFmtId="0" fontId="20" fillId="0" borderId="1" xfId="0" applyFont="1" applyFill="1" applyBorder="1" applyAlignment="1">
      <alignment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vertical="center"/>
    </xf>
    <xf numFmtId="0" fontId="20" fillId="0" borderId="0" xfId="0" applyFont="1" applyFill="1" applyBorder="1" applyAlignment="1">
      <alignment vertical="center"/>
    </xf>
    <xf numFmtId="175" fontId="61" fillId="0" borderId="0" xfId="0" applyNumberFormat="1" applyFont="1" applyFill="1" applyAlignment="1">
      <alignment vertical="center"/>
    </xf>
    <xf numFmtId="211" fontId="21" fillId="0" borderId="0" xfId="0" applyNumberFormat="1" applyFont="1" applyFill="1" applyAlignment="1">
      <alignment horizontal="right" vertical="center"/>
    </xf>
    <xf numFmtId="211" fontId="21" fillId="0" borderId="0" xfId="0" applyNumberFormat="1" applyFont="1" applyFill="1" applyAlignment="1">
      <alignment vertical="center"/>
    </xf>
    <xf numFmtId="43" fontId="21" fillId="0" borderId="0" xfId="0" applyNumberFormat="1" applyFont="1" applyFill="1" applyAlignment="1">
      <alignment vertical="center"/>
    </xf>
    <xf numFmtId="175" fontId="20" fillId="0" borderId="0" xfId="0" applyNumberFormat="1" applyFont="1" applyFill="1" applyAlignment="1">
      <alignment horizontal="left" vertical="center"/>
    </xf>
    <xf numFmtId="0" fontId="20" fillId="0" borderId="9" xfId="0" applyFont="1" applyFill="1" applyBorder="1" applyAlignment="1">
      <alignment vertical="center"/>
    </xf>
    <xf numFmtId="174" fontId="16" fillId="0" borderId="9" xfId="51" applyNumberFormat="1" applyFont="1" applyFill="1" applyBorder="1" applyAlignment="1">
      <alignment horizontal="center" vertical="center"/>
    </xf>
    <xf numFmtId="211" fontId="20" fillId="0" borderId="9" xfId="0" applyNumberFormat="1" applyFont="1" applyFill="1" applyBorder="1" applyAlignment="1">
      <alignment horizontal="center" vertical="center"/>
    </xf>
    <xf numFmtId="212" fontId="20" fillId="0" borderId="9" xfId="51" applyNumberFormat="1" applyFont="1" applyFill="1" applyBorder="1" applyAlignment="1">
      <alignment horizontal="center" vertical="center"/>
    </xf>
    <xf numFmtId="0" fontId="71" fillId="0" borderId="0" xfId="0" applyFont="1" applyFill="1" applyAlignment="1">
      <alignment horizontal="center" vertical="center" wrapText="1"/>
    </xf>
    <xf numFmtId="0" fontId="71" fillId="0" borderId="0" xfId="0" applyFont="1" applyFill="1" applyAlignment="1">
      <alignment vertical="center"/>
    </xf>
    <xf numFmtId="213" fontId="61" fillId="0" borderId="0" xfId="116" applyNumberFormat="1" applyFont="1" applyFill="1" applyAlignment="1">
      <alignment vertical="center" wrapText="1"/>
      <protection/>
    </xf>
    <xf numFmtId="175" fontId="16" fillId="0" borderId="9" xfId="116" applyNumberFormat="1" applyFont="1" applyFill="1" applyBorder="1" applyAlignment="1">
      <alignment horizontal="center" vertical="center" wrapText="1"/>
      <protection/>
    </xf>
    <xf numFmtId="49" fontId="16" fillId="0" borderId="9" xfId="116" applyNumberFormat="1" applyFont="1" applyFill="1" applyBorder="1" applyAlignment="1">
      <alignment horizontal="right" vertical="center" wrapText="1"/>
      <protection/>
    </xf>
    <xf numFmtId="175" fontId="16" fillId="0" borderId="9" xfId="116" applyNumberFormat="1" applyFont="1" applyFill="1" applyBorder="1" applyAlignment="1">
      <alignment horizontal="left" vertical="center" wrapText="1"/>
      <protection/>
    </xf>
    <xf numFmtId="49" fontId="20" fillId="0" borderId="9" xfId="116" applyNumberFormat="1" applyFont="1" applyFill="1" applyBorder="1" applyAlignment="1">
      <alignment horizontal="right" vertical="center" wrapText="1"/>
      <protection/>
    </xf>
    <xf numFmtId="175" fontId="20" fillId="0" borderId="9" xfId="116" applyNumberFormat="1" applyFont="1" applyFill="1" applyBorder="1" applyAlignment="1">
      <alignment horizontal="left" vertical="center" wrapText="1"/>
      <protection/>
    </xf>
    <xf numFmtId="49" fontId="20" fillId="0" borderId="9" xfId="116" applyNumberFormat="1" applyFont="1" applyFill="1" applyBorder="1" applyAlignment="1" quotePrefix="1">
      <alignment vertical="center" wrapText="1"/>
      <protection/>
    </xf>
    <xf numFmtId="175" fontId="20" fillId="0" borderId="9" xfId="116" applyNumberFormat="1" applyFont="1" applyFill="1" applyBorder="1" applyAlignment="1" quotePrefix="1">
      <alignment vertical="center" wrapText="1"/>
      <protection/>
    </xf>
    <xf numFmtId="205" fontId="21" fillId="0" borderId="0" xfId="116" applyNumberFormat="1" applyFont="1" applyFill="1" applyAlignment="1">
      <alignment vertical="center"/>
      <protection/>
    </xf>
    <xf numFmtId="178" fontId="20" fillId="0" borderId="0" xfId="53" applyNumberFormat="1" applyFont="1" applyFill="1" applyBorder="1" applyAlignment="1">
      <alignment vertical="center"/>
    </xf>
    <xf numFmtId="43" fontId="20" fillId="0" borderId="9" xfId="53" applyNumberFormat="1" applyFont="1" applyFill="1" applyBorder="1" applyAlignment="1">
      <alignment horizontal="right" vertical="center"/>
    </xf>
    <xf numFmtId="43" fontId="61" fillId="0" borderId="0" xfId="103" applyNumberFormat="1" applyFont="1" applyFill="1" applyAlignment="1">
      <alignment vertical="center"/>
      <protection/>
    </xf>
    <xf numFmtId="174" fontId="21" fillId="0" borderId="0" xfId="103" applyNumberFormat="1" applyFont="1" applyFill="1" applyAlignment="1">
      <alignment vertical="center"/>
      <protection/>
    </xf>
    <xf numFmtId="0" fontId="61" fillId="0" borderId="0" xfId="0" applyFont="1" applyFill="1" applyAlignment="1">
      <alignment vertical="center" wrapText="1"/>
    </xf>
    <xf numFmtId="0" fontId="61" fillId="0" borderId="0" xfId="0" applyFont="1" applyFill="1" applyAlignment="1">
      <alignment horizontal="center" vertical="center" wrapText="1"/>
    </xf>
    <xf numFmtId="0" fontId="102" fillId="0" borderId="37" xfId="0" applyFont="1" applyFill="1" applyBorder="1" applyAlignment="1">
      <alignment horizontal="right" vertical="center"/>
    </xf>
    <xf numFmtId="202" fontId="61" fillId="0" borderId="9" xfId="51" applyNumberFormat="1" applyFont="1" applyFill="1" applyBorder="1" applyAlignment="1">
      <alignment horizontal="right" vertical="center" wrapText="1"/>
    </xf>
    <xf numFmtId="174" fontId="60" fillId="0" borderId="9" xfId="51" applyNumberFormat="1" applyFont="1" applyFill="1" applyBorder="1" applyAlignment="1">
      <alignment horizontal="right" vertical="center" wrapText="1"/>
    </xf>
    <xf numFmtId="43" fontId="60" fillId="0" borderId="9" xfId="51" applyNumberFormat="1" applyFont="1" applyFill="1" applyBorder="1" applyAlignment="1">
      <alignment horizontal="right" vertical="center" wrapText="1"/>
    </xf>
    <xf numFmtId="175" fontId="60" fillId="0" borderId="9" xfId="51" applyNumberFormat="1" applyFont="1" applyFill="1" applyBorder="1" applyAlignment="1">
      <alignment horizontal="right" vertical="center" wrapText="1"/>
    </xf>
    <xf numFmtId="0" fontId="60" fillId="0" borderId="9" xfId="0" applyFont="1" applyFill="1" applyBorder="1" applyAlignment="1">
      <alignment horizontal="right" vertical="center" wrapText="1"/>
    </xf>
    <xf numFmtId="43" fontId="61" fillId="0" borderId="9" xfId="53" applyNumberFormat="1" applyFont="1" applyFill="1" applyBorder="1" applyAlignment="1">
      <alignment horizontal="right" vertical="center" wrapText="1"/>
    </xf>
    <xf numFmtId="202" fontId="60" fillId="0" borderId="9" xfId="51" applyNumberFormat="1" applyFont="1" applyFill="1" applyBorder="1" applyAlignment="1">
      <alignment horizontal="right" vertical="center" wrapText="1"/>
    </xf>
    <xf numFmtId="176" fontId="60" fillId="0" borderId="9" xfId="51" applyNumberFormat="1" applyFont="1" applyFill="1" applyBorder="1" applyAlignment="1">
      <alignment horizontal="right" vertical="center" wrapText="1"/>
    </xf>
    <xf numFmtId="175" fontId="61" fillId="0" borderId="9" xfId="51" applyNumberFormat="1" applyFont="1" applyFill="1" applyBorder="1" applyAlignment="1">
      <alignment horizontal="center" vertical="center" wrapText="1"/>
    </xf>
    <xf numFmtId="214" fontId="61" fillId="0" borderId="0" xfId="0" applyNumberFormat="1" applyFont="1" applyFill="1" applyAlignment="1">
      <alignment vertical="center"/>
    </xf>
    <xf numFmtId="206" fontId="61" fillId="0" borderId="9" xfId="0" applyNumberFormat="1" applyFont="1" applyFill="1" applyBorder="1" applyAlignment="1">
      <alignment horizontal="right" vertical="center" wrapText="1"/>
    </xf>
    <xf numFmtId="175" fontId="60" fillId="0" borderId="9" xfId="51" applyNumberFormat="1" applyFont="1" applyFill="1" applyBorder="1" applyAlignment="1">
      <alignment horizontal="center" vertical="center" wrapText="1"/>
    </xf>
    <xf numFmtId="174" fontId="21" fillId="0" borderId="9" xfId="53" applyNumberFormat="1" applyFont="1" applyFill="1" applyBorder="1" applyAlignment="1">
      <alignment horizontal="right" vertical="center" wrapText="1"/>
    </xf>
    <xf numFmtId="3" fontId="61" fillId="0" borderId="9" xfId="0" applyNumberFormat="1" applyFont="1" applyFill="1" applyBorder="1" applyAlignment="1">
      <alignment horizontal="right" vertical="center" wrapText="1"/>
    </xf>
    <xf numFmtId="0" fontId="61" fillId="0" borderId="9" xfId="0" applyFont="1" applyFill="1" applyBorder="1" applyAlignment="1">
      <alignment vertical="center" wrapText="1"/>
    </xf>
    <xf numFmtId="176" fontId="61" fillId="0" borderId="9" xfId="51" applyNumberFormat="1" applyFont="1" applyFill="1" applyBorder="1" applyAlignment="1">
      <alignment horizontal="right" vertical="center" wrapText="1"/>
    </xf>
    <xf numFmtId="175" fontId="61" fillId="0" borderId="9" xfId="51" applyNumberFormat="1" applyFont="1" applyFill="1" applyBorder="1" applyAlignment="1">
      <alignment horizontal="right" vertical="center" wrapText="1"/>
    </xf>
    <xf numFmtId="175" fontId="21" fillId="0" borderId="9" xfId="51" applyNumberFormat="1" applyFont="1" applyFill="1" applyBorder="1" applyAlignment="1">
      <alignment horizontal="right" vertical="center" wrapText="1"/>
    </xf>
    <xf numFmtId="202" fontId="94" fillId="0" borderId="9" xfId="51" applyNumberFormat="1" applyFont="1" applyFill="1" applyBorder="1" applyAlignment="1">
      <alignment horizontal="center" vertical="center" wrapText="1"/>
    </xf>
    <xf numFmtId="175" fontId="97" fillId="0" borderId="9" xfId="51" applyNumberFormat="1" applyFont="1" applyFill="1" applyBorder="1" applyAlignment="1">
      <alignment horizontal="right" vertical="center"/>
    </xf>
    <xf numFmtId="175" fontId="97" fillId="0" borderId="9" xfId="51" applyNumberFormat="1" applyFont="1" applyFill="1" applyBorder="1" applyAlignment="1">
      <alignment horizontal="center" vertical="center"/>
    </xf>
    <xf numFmtId="175" fontId="97" fillId="0" borderId="9" xfId="51" applyNumberFormat="1" applyFont="1" applyFill="1" applyBorder="1" applyAlignment="1">
      <alignment horizontal="left" vertical="center"/>
    </xf>
    <xf numFmtId="206" fontId="103" fillId="0" borderId="9" xfId="0" applyNumberFormat="1" applyFont="1" applyFill="1" applyBorder="1" applyAlignment="1">
      <alignment horizontal="right" vertical="center" wrapText="1"/>
    </xf>
    <xf numFmtId="206" fontId="61" fillId="0" borderId="9" xfId="135" applyNumberFormat="1" applyFont="1" applyFill="1" applyBorder="1" applyAlignment="1">
      <alignment horizontal="right" vertical="center" wrapText="1"/>
      <protection/>
    </xf>
    <xf numFmtId="215" fontId="21" fillId="0" borderId="0" xfId="0" applyNumberFormat="1" applyFont="1" applyFill="1" applyAlignment="1">
      <alignment horizontal="right" vertical="center"/>
    </xf>
    <xf numFmtId="4" fontId="21" fillId="0" borderId="0" xfId="0" applyNumberFormat="1" applyFont="1" applyFill="1" applyAlignment="1">
      <alignment horizontal="left" vertical="center"/>
    </xf>
    <xf numFmtId="4" fontId="21" fillId="0" borderId="0" xfId="0" applyNumberFormat="1" applyFont="1" applyFill="1" applyAlignment="1">
      <alignment horizontal="right" vertical="center"/>
    </xf>
    <xf numFmtId="4" fontId="21" fillId="0" borderId="0" xfId="0" applyNumberFormat="1" applyFont="1" applyFill="1" applyAlignment="1">
      <alignment vertical="center"/>
    </xf>
    <xf numFmtId="43" fontId="20" fillId="0" borderId="11" xfId="53" applyNumberFormat="1" applyFont="1" applyFill="1" applyBorder="1" applyAlignment="1">
      <alignment horizontal="center" vertical="center"/>
    </xf>
    <xf numFmtId="0" fontId="37" fillId="0" borderId="9" xfId="103" applyFont="1" applyFill="1" applyBorder="1" applyAlignment="1">
      <alignment horizontal="center" vertical="center"/>
      <protection/>
    </xf>
    <xf numFmtId="0" fontId="63" fillId="0" borderId="0" xfId="103" applyFont="1" applyFill="1" applyAlignment="1">
      <alignment vertical="center"/>
      <protection/>
    </xf>
    <xf numFmtId="4" fontId="16" fillId="0" borderId="9" xfId="103" applyNumberFormat="1" applyFont="1" applyFill="1" applyBorder="1" applyAlignment="1">
      <alignment horizontal="right" vertical="center"/>
      <protection/>
    </xf>
    <xf numFmtId="0" fontId="71" fillId="0" borderId="21" xfId="0" applyFont="1" applyFill="1" applyBorder="1" applyAlignment="1">
      <alignment vertical="center" wrapText="1"/>
    </xf>
    <xf numFmtId="0" fontId="71" fillId="0" borderId="0" xfId="103" applyFont="1" applyFill="1" applyAlignment="1">
      <alignment vertical="center" wrapText="1"/>
      <protection/>
    </xf>
    <xf numFmtId="0" fontId="66" fillId="0" borderId="0" xfId="103" applyFont="1" applyFill="1" applyAlignment="1">
      <alignment vertical="center" wrapText="1"/>
      <protection/>
    </xf>
    <xf numFmtId="0" fontId="104" fillId="0" borderId="37" xfId="103" applyFont="1" applyFill="1" applyBorder="1" applyAlignment="1">
      <alignment horizontal="right" vertical="center"/>
      <protection/>
    </xf>
    <xf numFmtId="0" fontId="66" fillId="0" borderId="0" xfId="0" applyFont="1" applyFill="1" applyAlignment="1">
      <alignment vertical="center" wrapText="1"/>
    </xf>
    <xf numFmtId="0" fontId="66" fillId="0" borderId="0" xfId="0" applyFont="1" applyFill="1" applyAlignment="1">
      <alignment horizontal="center" vertical="center" wrapText="1"/>
    </xf>
    <xf numFmtId="0" fontId="35" fillId="0" borderId="0" xfId="0" applyFont="1" applyAlignment="1">
      <alignment vertical="center" wrapText="1"/>
    </xf>
    <xf numFmtId="0" fontId="60" fillId="0" borderId="9" xfId="0" applyFont="1" applyFill="1" applyBorder="1" applyAlignment="1">
      <alignment vertical="center" wrapText="1"/>
    </xf>
    <xf numFmtId="0" fontId="21" fillId="0" borderId="9" xfId="0" applyFont="1" applyFill="1" applyBorder="1" applyAlignment="1">
      <alignment vertical="center" wrapText="1"/>
    </xf>
    <xf numFmtId="49" fontId="71" fillId="0" borderId="0" xfId="103" applyNumberFormat="1" applyFont="1" applyFill="1" applyAlignment="1">
      <alignment horizontal="center" vertical="center"/>
      <protection/>
    </xf>
    <xf numFmtId="0" fontId="71" fillId="0" borderId="0" xfId="103" applyFont="1" applyFill="1" applyAlignment="1">
      <alignment horizontal="center" vertical="center" wrapText="1"/>
      <protection/>
    </xf>
    <xf numFmtId="0" fontId="71" fillId="0" borderId="0" xfId="103" applyFont="1" applyFill="1" applyAlignment="1">
      <alignment horizontal="center" vertical="center"/>
      <protection/>
    </xf>
    <xf numFmtId="0" fontId="71" fillId="0" borderId="0" xfId="103" applyFont="1" applyFill="1" applyAlignment="1">
      <alignment vertical="center"/>
      <protection/>
    </xf>
    <xf numFmtId="0" fontId="106" fillId="0" borderId="0" xfId="103" applyFont="1" applyFill="1" applyBorder="1" applyAlignment="1">
      <alignment horizontal="right" vertical="center"/>
      <protection/>
    </xf>
    <xf numFmtId="0" fontId="106" fillId="0" borderId="37" xfId="103" applyFont="1" applyFill="1" applyBorder="1" applyAlignment="1">
      <alignment horizontal="right" vertical="center"/>
      <protection/>
    </xf>
    <xf numFmtId="0" fontId="66" fillId="0" borderId="9" xfId="103" applyFont="1" applyFill="1" applyBorder="1" applyAlignment="1">
      <alignment horizontal="center" vertical="center" wrapText="1"/>
      <protection/>
    </xf>
    <xf numFmtId="0" fontId="66" fillId="0" borderId="38" xfId="103" applyFont="1" applyFill="1" applyBorder="1" applyAlignment="1">
      <alignment horizontal="center" vertical="center" wrapText="1"/>
      <protection/>
    </xf>
    <xf numFmtId="49" fontId="71" fillId="0" borderId="9" xfId="103" applyNumberFormat="1" applyFont="1" applyFill="1" applyBorder="1" applyAlignment="1" quotePrefix="1">
      <alignment horizontal="center" vertical="center" wrapText="1"/>
      <protection/>
    </xf>
    <xf numFmtId="0" fontId="71" fillId="0" borderId="38" xfId="103" applyFont="1" applyFill="1" applyBorder="1" applyAlignment="1">
      <alignment horizontal="center" vertical="center" wrapText="1"/>
      <protection/>
    </xf>
    <xf numFmtId="0" fontId="66" fillId="0" borderId="9" xfId="103" applyFont="1" applyFill="1" applyBorder="1" applyAlignment="1">
      <alignment horizontal="center" vertical="center"/>
      <protection/>
    </xf>
    <xf numFmtId="0" fontId="66" fillId="0" borderId="9" xfId="103" applyFont="1" applyFill="1" applyBorder="1" applyAlignment="1">
      <alignment vertical="center" wrapText="1"/>
      <protection/>
    </xf>
    <xf numFmtId="175" fontId="66" fillId="0" borderId="9" xfId="53" applyNumberFormat="1" applyFont="1" applyFill="1" applyBorder="1" applyAlignment="1">
      <alignment horizontal="center" vertical="center"/>
    </xf>
    <xf numFmtId="3" fontId="66" fillId="0" borderId="9" xfId="53" applyNumberFormat="1" applyFont="1" applyFill="1" applyBorder="1" applyAlignment="1">
      <alignment horizontal="right" vertical="center"/>
    </xf>
    <xf numFmtId="0" fontId="107" fillId="0" borderId="0" xfId="103" applyFont="1" applyFill="1" applyAlignment="1">
      <alignment vertical="center"/>
      <protection/>
    </xf>
    <xf numFmtId="49" fontId="66" fillId="0" borderId="9" xfId="103" applyNumberFormat="1" applyFont="1" applyFill="1" applyBorder="1" applyAlignment="1">
      <alignment horizontal="center" vertical="center"/>
      <protection/>
    </xf>
    <xf numFmtId="0" fontId="66" fillId="0" borderId="9" xfId="103" applyFont="1" applyFill="1" applyBorder="1" applyAlignment="1">
      <alignment horizontal="left" vertical="center" wrapText="1"/>
      <protection/>
    </xf>
    <xf numFmtId="175" fontId="66" fillId="0" borderId="9" xfId="53" applyNumberFormat="1" applyFont="1" applyFill="1" applyBorder="1" applyAlignment="1">
      <alignment horizontal="right" vertical="center"/>
    </xf>
    <xf numFmtId="0" fontId="71" fillId="0" borderId="9" xfId="103" applyFont="1" applyFill="1" applyBorder="1" applyAlignment="1">
      <alignment horizontal="center" vertical="center" wrapText="1"/>
      <protection/>
    </xf>
    <xf numFmtId="174" fontId="71" fillId="0" borderId="9" xfId="53" applyNumberFormat="1" applyFont="1" applyFill="1" applyBorder="1" applyAlignment="1">
      <alignment horizontal="center" vertical="center"/>
    </xf>
    <xf numFmtId="49" fontId="71" fillId="0" borderId="9" xfId="103" applyNumberFormat="1" applyFont="1" applyFill="1" applyBorder="1" applyAlignment="1">
      <alignment horizontal="center" vertical="center"/>
      <protection/>
    </xf>
    <xf numFmtId="0" fontId="71" fillId="0" borderId="9" xfId="103" applyFont="1" applyBorder="1" applyAlignment="1">
      <alignment wrapText="1"/>
      <protection/>
    </xf>
    <xf numFmtId="175" fontId="71" fillId="0" borderId="9" xfId="53" applyNumberFormat="1" applyFont="1" applyFill="1" applyBorder="1" applyAlignment="1">
      <alignment horizontal="right" vertical="center"/>
    </xf>
    <xf numFmtId="175" fontId="108" fillId="0" borderId="9" xfId="53" applyNumberFormat="1" applyFont="1" applyFill="1" applyBorder="1" applyAlignment="1">
      <alignment horizontal="center" vertical="center"/>
    </xf>
    <xf numFmtId="0" fontId="71" fillId="0" borderId="9" xfId="103" applyFont="1" applyFill="1" applyBorder="1" applyAlignment="1">
      <alignment vertical="center" wrapText="1"/>
      <protection/>
    </xf>
    <xf numFmtId="4" fontId="108" fillId="0" borderId="9" xfId="53" applyNumberFormat="1" applyFont="1" applyFill="1" applyBorder="1" applyAlignment="1">
      <alignment horizontal="center" vertical="center"/>
    </xf>
    <xf numFmtId="49" fontId="109" fillId="0" borderId="9" xfId="103" applyNumberFormat="1" applyFont="1" applyFill="1" applyBorder="1" applyAlignment="1">
      <alignment horizontal="center" vertical="center"/>
      <protection/>
    </xf>
    <xf numFmtId="0" fontId="109" fillId="0" borderId="9" xfId="103" applyFont="1" applyBorder="1" applyAlignment="1">
      <alignment horizontal="left" vertical="center" wrapText="1"/>
      <protection/>
    </xf>
    <xf numFmtId="0" fontId="109" fillId="0" borderId="9" xfId="103" applyFont="1" applyFill="1" applyBorder="1" applyAlignment="1">
      <alignment horizontal="center" vertical="center" wrapText="1"/>
      <protection/>
    </xf>
    <xf numFmtId="0" fontId="109" fillId="0" borderId="9" xfId="103" applyFont="1" applyFill="1" applyBorder="1" applyAlignment="1">
      <alignment horizontal="center" vertical="center"/>
      <protection/>
    </xf>
    <xf numFmtId="0" fontId="109" fillId="0" borderId="9" xfId="103" applyFont="1" applyFill="1" applyBorder="1" applyAlignment="1">
      <alignment vertical="center"/>
      <protection/>
    </xf>
    <xf numFmtId="0" fontId="109" fillId="0" borderId="9" xfId="103" applyFont="1" applyBorder="1" applyAlignment="1">
      <alignment horizontal="center" vertical="center" wrapText="1"/>
      <protection/>
    </xf>
    <xf numFmtId="0" fontId="109" fillId="0" borderId="0" xfId="103" applyFont="1" applyFill="1" applyAlignment="1">
      <alignment vertical="center"/>
      <protection/>
    </xf>
    <xf numFmtId="49" fontId="108" fillId="0" borderId="9" xfId="103" applyNumberFormat="1" applyFont="1" applyFill="1" applyBorder="1" applyAlignment="1">
      <alignment horizontal="center" vertical="center"/>
      <protection/>
    </xf>
    <xf numFmtId="0" fontId="71" fillId="0" borderId="9" xfId="103" applyFont="1" applyFill="1" applyBorder="1" applyAlignment="1">
      <alignment horizontal="left" vertical="center" wrapText="1"/>
      <protection/>
    </xf>
    <xf numFmtId="174" fontId="108" fillId="0" borderId="9" xfId="53" applyNumberFormat="1" applyFont="1" applyFill="1" applyBorder="1" applyAlignment="1">
      <alignment horizontal="center" vertical="center"/>
    </xf>
    <xf numFmtId="0" fontId="108" fillId="0" borderId="38" xfId="103" applyFont="1" applyFill="1" applyBorder="1" applyAlignment="1">
      <alignment horizontal="right" vertical="center"/>
      <protection/>
    </xf>
    <xf numFmtId="0" fontId="108" fillId="0" borderId="0" xfId="103" applyFont="1" applyFill="1" applyAlignment="1">
      <alignment vertical="center"/>
      <protection/>
    </xf>
    <xf numFmtId="0" fontId="108" fillId="0" borderId="0" xfId="103" applyFont="1" applyFill="1" applyAlignment="1">
      <alignment horizontal="left" vertical="center"/>
      <protection/>
    </xf>
    <xf numFmtId="0" fontId="108" fillId="0" borderId="0" xfId="103" applyFont="1" applyFill="1" applyAlignment="1">
      <alignment horizontal="right" vertical="center"/>
      <protection/>
    </xf>
    <xf numFmtId="0" fontId="66" fillId="0" borderId="38" xfId="103" applyFont="1" applyFill="1" applyBorder="1" applyAlignment="1">
      <alignment vertical="center"/>
      <protection/>
    </xf>
    <xf numFmtId="0" fontId="66" fillId="0" borderId="0" xfId="103" applyFont="1" applyFill="1" applyAlignment="1">
      <alignment vertical="center"/>
      <protection/>
    </xf>
    <xf numFmtId="49" fontId="71" fillId="0" borderId="0" xfId="103" applyNumberFormat="1" applyFont="1" applyFill="1" applyBorder="1" applyAlignment="1">
      <alignment horizontal="center" vertical="center"/>
      <protection/>
    </xf>
    <xf numFmtId="0" fontId="71" fillId="0" borderId="0" xfId="103" applyFont="1" applyFill="1" applyBorder="1" applyAlignment="1">
      <alignment vertical="center" wrapText="1"/>
      <protection/>
    </xf>
    <xf numFmtId="0" fontId="71" fillId="0" borderId="0" xfId="103" applyFont="1" applyFill="1" applyBorder="1" applyAlignment="1">
      <alignment horizontal="center" vertical="center" wrapText="1"/>
      <protection/>
    </xf>
    <xf numFmtId="174" fontId="71" fillId="0" borderId="0" xfId="53" applyNumberFormat="1" applyFont="1" applyFill="1" applyBorder="1" applyAlignment="1">
      <alignment horizontal="center" vertical="center"/>
    </xf>
    <xf numFmtId="175" fontId="71" fillId="0" borderId="0" xfId="53" applyNumberFormat="1" applyFont="1" applyFill="1" applyBorder="1" applyAlignment="1">
      <alignment horizontal="center" vertical="center"/>
    </xf>
    <xf numFmtId="0" fontId="71" fillId="0" borderId="0" xfId="103" applyFont="1" applyFill="1" applyBorder="1" applyAlignment="1">
      <alignment vertical="center"/>
      <protection/>
    </xf>
    <xf numFmtId="174" fontId="71" fillId="0" borderId="0" xfId="53" applyNumberFormat="1" applyFont="1" applyFill="1" applyAlignment="1">
      <alignment horizontal="center" vertical="center"/>
    </xf>
    <xf numFmtId="175" fontId="71" fillId="0" borderId="0" xfId="53" applyNumberFormat="1" applyFont="1" applyFill="1" applyAlignment="1">
      <alignment vertical="center"/>
    </xf>
    <xf numFmtId="175" fontId="71" fillId="0" borderId="0" xfId="103" applyNumberFormat="1" applyFont="1" applyFill="1" applyAlignment="1">
      <alignment vertical="center"/>
      <protection/>
    </xf>
    <xf numFmtId="0" fontId="71" fillId="0" borderId="0" xfId="103" applyFont="1" applyFill="1" applyAlignment="1">
      <alignment horizontal="right" vertical="center" wrapText="1"/>
      <protection/>
    </xf>
    <xf numFmtId="0" fontId="71" fillId="0" borderId="0" xfId="103" applyFont="1" applyFill="1" applyAlignment="1">
      <alignment horizontal="left" vertical="center"/>
      <protection/>
    </xf>
    <xf numFmtId="0" fontId="71" fillId="0" borderId="0" xfId="103" applyFont="1" applyFill="1" applyAlignment="1">
      <alignment horizontal="right" vertical="center"/>
      <protection/>
    </xf>
    <xf numFmtId="174" fontId="66" fillId="0" borderId="9" xfId="53" applyNumberFormat="1" applyFont="1" applyFill="1" applyBorder="1" applyAlignment="1">
      <alignment horizontal="right" vertical="center"/>
    </xf>
    <xf numFmtId="174" fontId="71" fillId="0" borderId="9" xfId="53" applyNumberFormat="1" applyFont="1" applyFill="1" applyBorder="1" applyAlignment="1">
      <alignment horizontal="right" vertical="center"/>
    </xf>
    <xf numFmtId="175" fontId="71" fillId="0" borderId="9" xfId="103" applyNumberFormat="1" applyFont="1" applyFill="1" applyBorder="1" applyAlignment="1">
      <alignment horizontal="right"/>
      <protection/>
    </xf>
    <xf numFmtId="175" fontId="71" fillId="0" borderId="9" xfId="103" applyNumberFormat="1" applyFont="1" applyFill="1" applyBorder="1" applyAlignment="1">
      <alignment horizontal="right" vertical="center"/>
      <protection/>
    </xf>
    <xf numFmtId="0" fontId="71" fillId="0" borderId="9" xfId="103" applyFont="1" applyFill="1" applyBorder="1" applyAlignment="1">
      <alignment horizontal="right" vertical="center"/>
      <protection/>
    </xf>
    <xf numFmtId="4" fontId="71" fillId="0" borderId="9" xfId="53" applyNumberFormat="1" applyFont="1" applyFill="1" applyBorder="1" applyAlignment="1">
      <alignment horizontal="right" vertical="center"/>
    </xf>
    <xf numFmtId="175" fontId="108" fillId="0" borderId="9" xfId="53" applyNumberFormat="1" applyFont="1" applyFill="1" applyBorder="1" applyAlignment="1">
      <alignment horizontal="right" vertical="center"/>
    </xf>
    <xf numFmtId="4" fontId="108" fillId="0" borderId="9" xfId="53" applyNumberFormat="1" applyFont="1" applyFill="1" applyBorder="1" applyAlignment="1">
      <alignment horizontal="right" vertical="center"/>
    </xf>
    <xf numFmtId="0" fontId="66" fillId="0" borderId="0" xfId="0" applyFont="1" applyFill="1" applyAlignment="1">
      <alignment vertical="center"/>
    </xf>
    <xf numFmtId="179" fontId="110" fillId="0" borderId="9" xfId="0" applyNumberFormat="1" applyFont="1" applyFill="1" applyBorder="1" applyAlignment="1">
      <alignment horizontal="center" vertical="center"/>
    </xf>
    <xf numFmtId="210" fontId="21" fillId="0" borderId="0" xfId="103" applyNumberFormat="1" applyFont="1" applyFill="1" applyAlignment="1">
      <alignment vertical="center"/>
      <protection/>
    </xf>
    <xf numFmtId="178" fontId="16" fillId="0" borderId="9" xfId="103" applyNumberFormat="1" applyFont="1" applyFill="1" applyBorder="1" applyAlignment="1">
      <alignment horizontal="right" vertical="center"/>
      <protection/>
    </xf>
    <xf numFmtId="179" fontId="21" fillId="0" borderId="0" xfId="103" applyNumberFormat="1" applyFont="1" applyFill="1" applyAlignment="1">
      <alignment vertical="center"/>
      <protection/>
    </xf>
    <xf numFmtId="178" fontId="61" fillId="0" borderId="0" xfId="103" applyNumberFormat="1" applyFont="1" applyFill="1" applyAlignment="1">
      <alignment vertical="center"/>
      <protection/>
    </xf>
    <xf numFmtId="43" fontId="21" fillId="0" borderId="0" xfId="103" applyNumberFormat="1" applyFont="1" applyFill="1" applyAlignment="1">
      <alignment vertical="center"/>
      <protection/>
    </xf>
    <xf numFmtId="178" fontId="21" fillId="0" borderId="0" xfId="103" applyNumberFormat="1" applyFont="1" applyFill="1" applyAlignment="1">
      <alignment vertical="center"/>
      <protection/>
    </xf>
    <xf numFmtId="0" fontId="60" fillId="0" borderId="9" xfId="103" applyFont="1" applyFill="1" applyBorder="1" applyAlignment="1">
      <alignment vertical="center" wrapText="1"/>
      <protection/>
    </xf>
    <xf numFmtId="174" fontId="73" fillId="0" borderId="9" xfId="53" applyNumberFormat="1" applyFont="1" applyFill="1" applyBorder="1" applyAlignment="1">
      <alignment horizontal="center" vertical="center" wrapText="1"/>
    </xf>
    <xf numFmtId="1" fontId="21" fillId="0" borderId="0" xfId="103" applyNumberFormat="1" applyFont="1" applyFill="1" applyAlignment="1">
      <alignment horizontal="center" vertical="center" wrapText="1"/>
      <protection/>
    </xf>
    <xf numFmtId="1" fontId="21" fillId="0" borderId="0" xfId="103" applyNumberFormat="1" applyFont="1" applyFill="1" applyAlignment="1">
      <alignment vertical="center"/>
      <protection/>
    </xf>
    <xf numFmtId="178" fontId="20" fillId="0" borderId="9" xfId="53" applyNumberFormat="1" applyFont="1" applyFill="1" applyBorder="1" applyAlignment="1">
      <alignment horizontal="right" vertical="center"/>
    </xf>
    <xf numFmtId="2" fontId="21" fillId="0" borderId="0" xfId="103" applyNumberFormat="1" applyFont="1" applyFill="1" applyAlignment="1">
      <alignment vertical="center"/>
      <protection/>
    </xf>
    <xf numFmtId="3" fontId="21" fillId="0" borderId="9" xfId="0" applyNumberFormat="1" applyFont="1" applyFill="1" applyBorder="1" applyAlignment="1">
      <alignment/>
    </xf>
    <xf numFmtId="3" fontId="111" fillId="0" borderId="9" xfId="0" applyNumberFormat="1" applyFont="1" applyFill="1" applyBorder="1" applyAlignment="1">
      <alignment vertical="center"/>
    </xf>
    <xf numFmtId="3" fontId="22" fillId="0" borderId="9" xfId="0" applyNumberFormat="1" applyFont="1" applyFill="1" applyBorder="1" applyAlignment="1">
      <alignment/>
    </xf>
    <xf numFmtId="0" fontId="21" fillId="0" borderId="9" xfId="0" applyFont="1" applyFill="1" applyBorder="1" applyAlignment="1">
      <alignment/>
    </xf>
    <xf numFmtId="0" fontId="111" fillId="0" borderId="9" xfId="0" applyFont="1" applyFill="1" applyBorder="1" applyAlignment="1">
      <alignment vertical="center"/>
    </xf>
    <xf numFmtId="174" fontId="79" fillId="0" borderId="9" xfId="58" applyNumberFormat="1" applyFont="1" applyFill="1" applyBorder="1" applyAlignment="1">
      <alignment horizontal="center" vertical="center" wrapText="1"/>
    </xf>
    <xf numFmtId="175" fontId="79" fillId="0" borderId="9" xfId="58" applyNumberFormat="1" applyFont="1" applyFill="1" applyBorder="1" applyAlignment="1">
      <alignment horizontal="center" vertical="center"/>
    </xf>
    <xf numFmtId="179" fontId="78" fillId="0" borderId="9" xfId="0" applyNumberFormat="1" applyFont="1" applyFill="1" applyBorder="1" applyAlignment="1">
      <alignment horizontal="center" vertical="center"/>
    </xf>
    <xf numFmtId="0" fontId="85" fillId="0" borderId="9" xfId="0" applyFont="1" applyFill="1" applyBorder="1" applyAlignment="1">
      <alignment horizontal="center" vertical="center"/>
    </xf>
    <xf numFmtId="0" fontId="22" fillId="0" borderId="9" xfId="0" applyFont="1" applyFill="1" applyBorder="1" applyAlignment="1">
      <alignment horizontal="left" vertical="center" wrapText="1"/>
    </xf>
    <xf numFmtId="0" fontId="22" fillId="0" borderId="9" xfId="0" applyFont="1" applyFill="1" applyBorder="1" applyAlignment="1">
      <alignment horizontal="center" vertical="center" wrapText="1"/>
    </xf>
    <xf numFmtId="0" fontId="22" fillId="0" borderId="9" xfId="0" applyFont="1" applyFill="1" applyBorder="1" applyAlignment="1">
      <alignment horizontal="center" vertical="center"/>
    </xf>
    <xf numFmtId="0" fontId="88" fillId="0" borderId="0" xfId="0" applyFont="1" applyFill="1" applyAlignment="1">
      <alignment vertical="center"/>
    </xf>
    <xf numFmtId="0" fontId="84" fillId="0" borderId="9" xfId="0" applyFont="1" applyFill="1" applyBorder="1" applyAlignment="1">
      <alignment vertical="center" wrapText="1"/>
    </xf>
    <xf numFmtId="0" fontId="22" fillId="0" borderId="9" xfId="0" applyFont="1" applyFill="1" applyBorder="1" applyAlignment="1" quotePrefix="1">
      <alignment horizontal="center" vertical="center" wrapText="1"/>
    </xf>
    <xf numFmtId="0" fontId="22" fillId="0" borderId="9" xfId="0" applyFont="1" applyFill="1" applyBorder="1" applyAlignment="1">
      <alignment vertical="center"/>
    </xf>
    <xf numFmtId="177" fontId="22" fillId="0" borderId="9" xfId="0" applyNumberFormat="1" applyFont="1" applyFill="1" applyBorder="1" applyAlignment="1">
      <alignment vertical="center"/>
    </xf>
    <xf numFmtId="0" fontId="85" fillId="0" borderId="9" xfId="0" applyFont="1" applyFill="1" applyBorder="1" applyAlignment="1">
      <alignment vertical="center" wrapText="1"/>
    </xf>
    <xf numFmtId="0" fontId="85" fillId="0" borderId="9" xfId="0" applyFont="1" applyFill="1" applyBorder="1" applyAlignment="1">
      <alignment horizontal="center" vertical="center" wrapText="1"/>
    </xf>
    <xf numFmtId="0" fontId="22" fillId="0" borderId="9" xfId="0" applyFont="1" applyFill="1" applyBorder="1" applyAlignment="1" quotePrefix="1">
      <alignment vertical="center" wrapText="1"/>
    </xf>
    <xf numFmtId="0" fontId="84" fillId="0" borderId="9" xfId="0" applyFont="1" applyFill="1" applyBorder="1" applyAlignment="1">
      <alignment horizontal="center" vertical="center"/>
    </xf>
    <xf numFmtId="2" fontId="22" fillId="0" borderId="9" xfId="0" applyNumberFormat="1" applyFont="1" applyFill="1" applyBorder="1" applyAlignment="1">
      <alignment vertical="center"/>
    </xf>
    <xf numFmtId="0" fontId="84" fillId="0" borderId="0" xfId="0" applyFont="1" applyFill="1" applyAlignment="1">
      <alignment vertical="center"/>
    </xf>
    <xf numFmtId="178" fontId="60" fillId="0" borderId="0" xfId="103" applyNumberFormat="1" applyFont="1" applyFill="1" applyAlignment="1">
      <alignment vertical="center"/>
      <protection/>
    </xf>
    <xf numFmtId="43" fontId="16" fillId="0" borderId="9" xfId="53" applyNumberFormat="1" applyFont="1" applyFill="1" applyBorder="1" applyAlignment="1">
      <alignment horizontal="right" vertical="center"/>
    </xf>
    <xf numFmtId="179" fontId="21" fillId="0" borderId="0" xfId="103" applyNumberFormat="1" applyFont="1" applyFill="1" applyAlignment="1">
      <alignment horizontal="center" vertical="center" wrapText="1"/>
      <protection/>
    </xf>
    <xf numFmtId="179" fontId="21" fillId="0" borderId="0" xfId="103" applyNumberFormat="1" applyFont="1" applyFill="1" applyAlignment="1">
      <alignment horizontal="right" vertical="center"/>
      <protection/>
    </xf>
    <xf numFmtId="3" fontId="21" fillId="0" borderId="0" xfId="103" applyNumberFormat="1" applyFont="1" applyFill="1" applyAlignment="1">
      <alignment vertical="center"/>
      <protection/>
    </xf>
    <xf numFmtId="4" fontId="21" fillId="0" borderId="0" xfId="103" applyNumberFormat="1" applyFont="1" applyFill="1" applyAlignment="1">
      <alignment vertical="center"/>
      <protection/>
    </xf>
    <xf numFmtId="0" fontId="16" fillId="0" borderId="9" xfId="103" applyFont="1" applyFill="1" applyBorder="1" applyAlignment="1">
      <alignment horizontal="right" vertical="center"/>
      <protection/>
    </xf>
    <xf numFmtId="3" fontId="20" fillId="0" borderId="9" xfId="53" applyNumberFormat="1" applyFont="1" applyFill="1" applyBorder="1" applyAlignment="1">
      <alignment vertical="center"/>
    </xf>
    <xf numFmtId="0" fontId="73" fillId="0" borderId="9" xfId="103" applyFont="1" applyFill="1" applyBorder="1" applyAlignment="1">
      <alignment horizontal="right" vertical="center"/>
      <protection/>
    </xf>
    <xf numFmtId="0" fontId="20" fillId="0" borderId="9" xfId="103" applyFont="1" applyFill="1" applyBorder="1" applyAlignment="1">
      <alignment horizontal="right" vertical="center"/>
      <protection/>
    </xf>
    <xf numFmtId="3" fontId="20" fillId="0" borderId="9" xfId="103" applyNumberFormat="1" applyFont="1" applyFill="1" applyBorder="1" applyAlignment="1">
      <alignment horizontal="right" vertical="center"/>
      <protection/>
    </xf>
    <xf numFmtId="3" fontId="20" fillId="0" borderId="9" xfId="53" applyNumberFormat="1" applyFont="1" applyFill="1" applyBorder="1" applyAlignment="1">
      <alignment horizontal="right" vertical="center"/>
    </xf>
    <xf numFmtId="2" fontId="20" fillId="0" borderId="9" xfId="103" applyNumberFormat="1" applyFont="1" applyFill="1" applyBorder="1" applyAlignment="1">
      <alignment horizontal="center" vertical="center" wrapText="1"/>
      <protection/>
    </xf>
    <xf numFmtId="2" fontId="20" fillId="0" borderId="9" xfId="53" applyNumberFormat="1" applyFont="1" applyFill="1" applyBorder="1" applyAlignment="1">
      <alignment horizontal="right" vertical="center"/>
    </xf>
    <xf numFmtId="174" fontId="20" fillId="0" borderId="9" xfId="53" applyNumberFormat="1" applyFont="1" applyFill="1" applyBorder="1" applyAlignment="1">
      <alignment horizontal="right" vertical="center"/>
    </xf>
    <xf numFmtId="174" fontId="20" fillId="0" borderId="9" xfId="103" applyNumberFormat="1" applyFont="1" applyFill="1" applyBorder="1" applyAlignment="1">
      <alignment horizontal="right" vertical="center"/>
      <protection/>
    </xf>
    <xf numFmtId="4" fontId="20" fillId="0" borderId="9" xfId="103" applyNumberFormat="1" applyFont="1" applyFill="1" applyBorder="1" applyAlignment="1">
      <alignment horizontal="right" vertical="center"/>
      <protection/>
    </xf>
    <xf numFmtId="174" fontId="20" fillId="0" borderId="9" xfId="55" applyNumberFormat="1" applyFont="1" applyFill="1" applyBorder="1" applyAlignment="1">
      <alignment vertical="center" wrapText="1"/>
    </xf>
    <xf numFmtId="174" fontId="20" fillId="0" borderId="9" xfId="53" applyNumberFormat="1" applyFont="1" applyFill="1" applyBorder="1" applyAlignment="1">
      <alignment horizontal="right" vertical="center" wrapText="1"/>
    </xf>
    <xf numFmtId="0" fontId="112" fillId="0" borderId="37" xfId="0" applyFont="1" applyFill="1" applyBorder="1" applyAlignment="1">
      <alignment horizontal="right" vertical="center"/>
    </xf>
    <xf numFmtId="0" fontId="113" fillId="0" borderId="37" xfId="103" applyFont="1" applyFill="1" applyBorder="1" applyAlignment="1">
      <alignment horizontal="right" vertical="center"/>
      <protection/>
    </xf>
    <xf numFmtId="202" fontId="61" fillId="0" borderId="0" xfId="0" applyNumberFormat="1" applyFont="1" applyFill="1" applyAlignment="1">
      <alignment vertical="center"/>
    </xf>
    <xf numFmtId="216" fontId="61" fillId="0" borderId="0" xfId="0" applyNumberFormat="1" applyFont="1" applyFill="1" applyAlignment="1">
      <alignment vertical="center"/>
    </xf>
    <xf numFmtId="217" fontId="61" fillId="0" borderId="0" xfId="0" applyNumberFormat="1" applyFont="1" applyFill="1" applyAlignment="1">
      <alignment vertical="center"/>
    </xf>
    <xf numFmtId="216" fontId="60" fillId="0" borderId="0" xfId="0" applyNumberFormat="1" applyFont="1" applyFill="1" applyAlignment="1">
      <alignment vertical="center"/>
    </xf>
    <xf numFmtId="216" fontId="60" fillId="0" borderId="9" xfId="0" applyNumberFormat="1" applyFont="1" applyFill="1" applyBorder="1" applyAlignment="1">
      <alignment horizontal="right" vertical="center" wrapText="1"/>
    </xf>
    <xf numFmtId="219" fontId="60" fillId="0" borderId="9" xfId="0" applyNumberFormat="1" applyFont="1" applyFill="1" applyBorder="1" applyAlignment="1">
      <alignment horizontal="right" vertical="center" wrapText="1"/>
    </xf>
    <xf numFmtId="43" fontId="61" fillId="0" borderId="0" xfId="0" applyNumberFormat="1" applyFont="1" applyFill="1" applyAlignment="1">
      <alignment vertical="center"/>
    </xf>
    <xf numFmtId="202" fontId="61" fillId="0" borderId="0" xfId="0" applyNumberFormat="1" applyFont="1" applyFill="1" applyAlignment="1">
      <alignment vertical="center"/>
    </xf>
    <xf numFmtId="214" fontId="60" fillId="0" borderId="0" xfId="0" applyNumberFormat="1" applyFont="1" applyFill="1" applyAlignment="1">
      <alignment vertical="center"/>
    </xf>
    <xf numFmtId="218" fontId="61" fillId="0" borderId="0" xfId="0" applyNumberFormat="1" applyFont="1" applyFill="1" applyAlignment="1">
      <alignment vertical="center"/>
    </xf>
    <xf numFmtId="209" fontId="60" fillId="0" borderId="0" xfId="0" applyNumberFormat="1" applyFont="1" applyFill="1" applyAlignment="1">
      <alignment vertical="center"/>
    </xf>
    <xf numFmtId="209" fontId="61" fillId="0" borderId="9" xfId="0" applyNumberFormat="1" applyFont="1" applyFill="1" applyBorder="1" applyAlignment="1">
      <alignment horizontal="right" vertical="center" wrapText="1"/>
    </xf>
    <xf numFmtId="209" fontId="60" fillId="0" borderId="9" xfId="51" applyNumberFormat="1" applyFont="1" applyFill="1" applyBorder="1" applyAlignment="1">
      <alignment horizontal="right" vertical="center" wrapText="1"/>
    </xf>
    <xf numFmtId="209" fontId="21" fillId="0" borderId="9" xfId="53" applyNumberFormat="1" applyFont="1" applyFill="1" applyBorder="1" applyAlignment="1">
      <alignment horizontal="right" vertical="center" wrapText="1"/>
    </xf>
    <xf numFmtId="0" fontId="86" fillId="0" borderId="9" xfId="135" applyFont="1" applyFill="1" applyBorder="1" applyAlignment="1">
      <alignment vertical="center"/>
      <protection/>
    </xf>
    <xf numFmtId="0" fontId="21" fillId="0" borderId="9" xfId="103" applyFont="1" applyFill="1" applyBorder="1" applyAlignment="1">
      <alignment vertical="center" wrapText="1"/>
      <protection/>
    </xf>
    <xf numFmtId="0" fontId="71" fillId="0" borderId="0" xfId="103" applyFont="1" applyFill="1" applyAlignment="1">
      <alignment horizontal="left" vertical="center" wrapText="1"/>
      <protection/>
    </xf>
    <xf numFmtId="0" fontId="21" fillId="0" borderId="0" xfId="103" applyFont="1" applyFill="1" applyBorder="1" applyAlignment="1">
      <alignment vertical="center"/>
      <protection/>
    </xf>
    <xf numFmtId="0" fontId="115" fillId="0" borderId="37" xfId="103" applyFont="1" applyFill="1" applyBorder="1" applyAlignment="1">
      <alignment horizontal="right" vertical="center"/>
      <protection/>
    </xf>
    <xf numFmtId="0" fontId="35" fillId="0" borderId="0" xfId="103" applyFont="1" applyFill="1" applyAlignment="1">
      <alignment vertical="center"/>
      <protection/>
    </xf>
    <xf numFmtId="0" fontId="20" fillId="0" borderId="0" xfId="103" applyFont="1" applyFill="1" applyAlignment="1">
      <alignment horizontal="left" vertical="center" wrapText="1"/>
      <protection/>
    </xf>
    <xf numFmtId="0" fontId="61" fillId="0" borderId="9" xfId="103" applyFont="1" applyFill="1" applyBorder="1" applyAlignment="1">
      <alignment horizontal="center" vertical="center" wrapText="1"/>
      <protection/>
    </xf>
    <xf numFmtId="0" fontId="21" fillId="0" borderId="9" xfId="103" applyFont="1" applyFill="1" applyBorder="1" applyAlignment="1">
      <alignment horizontal="center" vertical="center"/>
      <protection/>
    </xf>
    <xf numFmtId="0" fontId="61" fillId="0" borderId="9" xfId="103" applyFont="1" applyFill="1" applyBorder="1" applyAlignment="1">
      <alignment horizontal="left" vertical="center" wrapText="1"/>
      <protection/>
    </xf>
    <xf numFmtId="0" fontId="21" fillId="0" borderId="9" xfId="103" applyFont="1" applyFill="1" applyBorder="1" applyAlignment="1">
      <alignment horizontal="center" vertical="center" wrapText="1"/>
      <protection/>
    </xf>
    <xf numFmtId="0" fontId="61" fillId="0" borderId="9" xfId="103" applyFont="1" applyFill="1" applyBorder="1" applyAlignment="1">
      <alignment horizontal="center" vertical="center"/>
      <protection/>
    </xf>
    <xf numFmtId="3" fontId="61" fillId="0" borderId="9" xfId="103" applyNumberFormat="1" applyFont="1" applyFill="1" applyBorder="1" applyAlignment="1">
      <alignment horizontal="center" vertical="center" wrapText="1"/>
      <protection/>
    </xf>
    <xf numFmtId="0" fontId="16" fillId="0" borderId="0" xfId="103" applyFont="1" applyFill="1" applyAlignment="1">
      <alignment horizontal="left" vertical="center"/>
      <protection/>
    </xf>
    <xf numFmtId="0" fontId="21" fillId="0" borderId="9" xfId="103" applyFont="1" applyFill="1" applyBorder="1" applyAlignment="1">
      <alignment horizontal="left" vertical="center" wrapText="1"/>
      <protection/>
    </xf>
    <xf numFmtId="3" fontId="21" fillId="0" borderId="9" xfId="103" applyNumberFormat="1" applyFont="1" applyFill="1" applyBorder="1" applyAlignment="1">
      <alignment horizontal="center" vertical="center" wrapText="1"/>
      <protection/>
    </xf>
    <xf numFmtId="0" fontId="21" fillId="0" borderId="9" xfId="108" applyFont="1" applyFill="1" applyBorder="1" applyAlignment="1">
      <alignment horizontal="center" vertical="center"/>
      <protection/>
    </xf>
    <xf numFmtId="3" fontId="21" fillId="0" borderId="9" xfId="108" applyNumberFormat="1" applyFont="1" applyFill="1" applyBorder="1" applyAlignment="1">
      <alignment horizontal="center" vertical="center" wrapText="1"/>
      <protection/>
    </xf>
    <xf numFmtId="0" fontId="20" fillId="0" borderId="0" xfId="108" applyFont="1" applyFill="1" applyAlignment="1">
      <alignment vertical="center"/>
      <protection/>
    </xf>
    <xf numFmtId="0" fontId="21" fillId="0" borderId="0" xfId="108" applyFont="1" applyFill="1" applyAlignment="1">
      <alignment vertical="center"/>
      <protection/>
    </xf>
    <xf numFmtId="0" fontId="61" fillId="0" borderId="26" xfId="103" applyFont="1" applyFill="1" applyBorder="1" applyAlignment="1">
      <alignment horizontal="center" vertical="center"/>
      <protection/>
    </xf>
    <xf numFmtId="0" fontId="61" fillId="0" borderId="26" xfId="103" applyFont="1" applyFill="1" applyBorder="1" applyAlignment="1">
      <alignment horizontal="left" vertical="center" wrapText="1"/>
      <protection/>
    </xf>
    <xf numFmtId="3" fontId="61" fillId="0" borderId="26" xfId="103" applyNumberFormat="1" applyFont="1" applyFill="1" applyBorder="1" applyAlignment="1">
      <alignment horizontal="center" vertical="center" wrapText="1"/>
      <protection/>
    </xf>
    <xf numFmtId="3" fontId="21" fillId="0" borderId="9" xfId="103" applyNumberFormat="1" applyFont="1" applyFill="1" applyBorder="1" applyAlignment="1">
      <alignment horizontal="center" vertical="center"/>
      <protection/>
    </xf>
    <xf numFmtId="0" fontId="90" fillId="0" borderId="0" xfId="103" applyFont="1" applyFill="1" applyAlignment="1">
      <alignment vertical="center"/>
      <protection/>
    </xf>
    <xf numFmtId="0" fontId="116" fillId="0" borderId="9" xfId="103" applyFont="1" applyFill="1" applyBorder="1" applyAlignment="1">
      <alignment horizontal="center" vertical="center"/>
      <protection/>
    </xf>
    <xf numFmtId="0" fontId="116" fillId="0" borderId="9" xfId="103" applyFont="1" applyFill="1" applyBorder="1" applyAlignment="1">
      <alignment horizontal="left" vertical="center" wrapText="1"/>
      <protection/>
    </xf>
    <xf numFmtId="3" fontId="116" fillId="0" borderId="9" xfId="53" applyNumberFormat="1" applyFont="1" applyFill="1" applyBorder="1" applyAlignment="1">
      <alignment horizontal="center" vertical="center" wrapText="1"/>
    </xf>
    <xf numFmtId="3" fontId="116" fillId="0" borderId="9" xfId="103" applyNumberFormat="1" applyFont="1" applyFill="1" applyBorder="1" applyAlignment="1">
      <alignment horizontal="center" vertical="center" wrapText="1"/>
      <protection/>
    </xf>
    <xf numFmtId="3" fontId="116" fillId="0" borderId="9" xfId="53" applyNumberFormat="1" applyFont="1" applyFill="1" applyBorder="1" applyAlignment="1">
      <alignment horizontal="center" vertical="center"/>
    </xf>
    <xf numFmtId="0" fontId="94" fillId="0" borderId="0" xfId="103" applyFont="1" applyFill="1" applyAlignment="1">
      <alignment vertical="center"/>
      <protection/>
    </xf>
    <xf numFmtId="0" fontId="116" fillId="0" borderId="0" xfId="103" applyFont="1" applyFill="1" applyAlignment="1">
      <alignment vertical="center"/>
      <protection/>
    </xf>
    <xf numFmtId="0" fontId="21" fillId="0" borderId="9" xfId="103" applyFont="1" applyFill="1" applyBorder="1" applyAlignment="1" quotePrefix="1">
      <alignment horizontal="left" vertical="center" wrapText="1"/>
      <protection/>
    </xf>
    <xf numFmtId="0" fontId="93" fillId="0" borderId="0" xfId="103" applyFont="1" applyFill="1" applyAlignment="1">
      <alignment vertical="center"/>
      <protection/>
    </xf>
    <xf numFmtId="0" fontId="21" fillId="0" borderId="9" xfId="109" applyFont="1" applyFill="1" applyBorder="1" applyAlignment="1">
      <alignment horizontal="left" vertical="center" wrapText="1"/>
      <protection/>
    </xf>
    <xf numFmtId="3" fontId="21" fillId="0" borderId="9" xfId="109" applyNumberFormat="1" applyFont="1" applyFill="1" applyBorder="1" applyAlignment="1">
      <alignment horizontal="center" vertical="center" wrapText="1"/>
      <protection/>
    </xf>
    <xf numFmtId="0" fontId="20" fillId="0" borderId="0" xfId="109" applyFont="1" applyFill="1" applyAlignment="1">
      <alignment vertical="center"/>
      <protection/>
    </xf>
    <xf numFmtId="0" fontId="21" fillId="0" borderId="0" xfId="109" applyFont="1" applyFill="1" applyAlignment="1">
      <alignment vertical="center"/>
      <protection/>
    </xf>
    <xf numFmtId="0" fontId="94" fillId="0" borderId="9" xfId="0" applyFont="1" applyFill="1" applyBorder="1" applyAlignment="1">
      <alignment vertical="center" wrapText="1"/>
    </xf>
    <xf numFmtId="0" fontId="94" fillId="0" borderId="9" xfId="0" applyFont="1" applyFill="1" applyBorder="1" applyAlignment="1">
      <alignment horizontal="right" vertical="center" wrapText="1"/>
    </xf>
    <xf numFmtId="0" fontId="94" fillId="0" borderId="9" xfId="0" applyFont="1" applyFill="1" applyBorder="1" applyAlignment="1">
      <alignment horizontal="center" vertical="center" wrapText="1"/>
    </xf>
    <xf numFmtId="0" fontId="94" fillId="0" borderId="9" xfId="0" applyFont="1" applyFill="1" applyBorder="1" applyAlignment="1">
      <alignment vertical="center"/>
    </xf>
    <xf numFmtId="0" fontId="94" fillId="0" borderId="0" xfId="0" applyFont="1" applyFill="1" applyAlignment="1">
      <alignment vertical="center"/>
    </xf>
    <xf numFmtId="0" fontId="116" fillId="0" borderId="0" xfId="0" applyFont="1" applyFill="1" applyAlignment="1">
      <alignment vertical="center"/>
    </xf>
    <xf numFmtId="0" fontId="21" fillId="0" borderId="0" xfId="103" applyFont="1" applyFill="1" applyAlignment="1">
      <alignment horizontal="left" vertical="center" wrapText="1"/>
      <protection/>
    </xf>
    <xf numFmtId="202" fontId="61" fillId="0" borderId="9" xfId="0" applyNumberFormat="1" applyFont="1" applyFill="1" applyBorder="1" applyAlignment="1">
      <alignment horizontal="right" vertical="center" wrapText="1"/>
    </xf>
    <xf numFmtId="210" fontId="21" fillId="0" borderId="0" xfId="116" applyNumberFormat="1" applyFont="1" applyFill="1" applyAlignment="1">
      <alignment vertical="center"/>
      <protection/>
    </xf>
    <xf numFmtId="210" fontId="60" fillId="0" borderId="0" xfId="116" applyNumberFormat="1" applyFont="1" applyFill="1" applyAlignment="1">
      <alignment vertical="center"/>
      <protection/>
    </xf>
    <xf numFmtId="2" fontId="20" fillId="0" borderId="9" xfId="103" applyNumberFormat="1" applyFont="1" applyFill="1" applyBorder="1" applyAlignment="1">
      <alignment horizontal="right" vertical="center"/>
      <protection/>
    </xf>
    <xf numFmtId="178" fontId="16" fillId="0" borderId="9" xfId="53" applyNumberFormat="1" applyFont="1" applyFill="1" applyBorder="1" applyAlignment="1">
      <alignment horizontal="right" vertical="center"/>
    </xf>
    <xf numFmtId="178" fontId="71" fillId="0" borderId="9" xfId="53" applyNumberFormat="1" applyFont="1" applyFill="1" applyBorder="1" applyAlignment="1">
      <alignment horizontal="right" vertical="center"/>
    </xf>
    <xf numFmtId="3" fontId="71" fillId="0" borderId="9" xfId="103" applyNumberFormat="1" applyFont="1" applyFill="1" applyBorder="1" applyAlignment="1">
      <alignment vertical="center" wrapText="1"/>
      <protection/>
    </xf>
    <xf numFmtId="0" fontId="16" fillId="0" borderId="22" xfId="103" applyFont="1" applyFill="1" applyBorder="1" applyAlignment="1">
      <alignment horizontal="center" vertical="center" wrapText="1"/>
      <protection/>
    </xf>
    <xf numFmtId="0" fontId="16" fillId="0" borderId="22" xfId="103" applyFont="1" applyFill="1" applyBorder="1" applyAlignment="1">
      <alignment vertical="center" wrapText="1"/>
      <protection/>
    </xf>
    <xf numFmtId="0" fontId="20" fillId="0" borderId="22" xfId="103" applyFont="1" applyFill="1" applyBorder="1" applyAlignment="1">
      <alignment horizontal="center" vertical="center" wrapText="1"/>
      <protection/>
    </xf>
    <xf numFmtId="0" fontId="20" fillId="0" borderId="15" xfId="103" applyFont="1" applyFill="1" applyBorder="1" applyAlignment="1">
      <alignment horizontal="center" vertical="center"/>
      <protection/>
    </xf>
    <xf numFmtId="0" fontId="20" fillId="0" borderId="0" xfId="103" applyFont="1" applyFill="1" applyAlignment="1">
      <alignment horizontal="center" vertical="center"/>
      <protection/>
    </xf>
    <xf numFmtId="0" fontId="20" fillId="0" borderId="0" xfId="103" applyFont="1" applyFill="1" applyAlignment="1">
      <alignment vertical="center" wrapText="1"/>
      <protection/>
    </xf>
    <xf numFmtId="0" fontId="20" fillId="0" borderId="0" xfId="103" applyFont="1" applyFill="1" applyAlignment="1">
      <alignment horizontal="center" vertical="center" wrapText="1"/>
      <protection/>
    </xf>
    <xf numFmtId="0" fontId="20" fillId="0" borderId="0" xfId="103" applyFont="1" applyFill="1" applyAlignment="1">
      <alignment vertical="center"/>
      <protection/>
    </xf>
    <xf numFmtId="2" fontId="20" fillId="0" borderId="0" xfId="128" applyNumberFormat="1" applyFont="1" applyFill="1" applyBorder="1" applyAlignment="1">
      <alignment horizontal="center" vertical="center"/>
    </xf>
    <xf numFmtId="0" fontId="20" fillId="0" borderId="9" xfId="103" applyFont="1" applyFill="1" applyBorder="1" applyAlignment="1">
      <alignment horizontal="center" vertical="top"/>
      <protection/>
    </xf>
    <xf numFmtId="0" fontId="20" fillId="0" borderId="9" xfId="103" applyFont="1" applyFill="1" applyBorder="1" applyAlignment="1" quotePrefix="1">
      <alignment vertical="center" wrapText="1"/>
      <protection/>
    </xf>
    <xf numFmtId="0" fontId="20" fillId="0" borderId="9" xfId="103" applyFont="1" applyFill="1" applyBorder="1" applyAlignment="1" quotePrefix="1">
      <alignment horizontal="center" vertical="center" wrapText="1"/>
      <protection/>
    </xf>
    <xf numFmtId="2" fontId="20" fillId="0" borderId="9" xfId="128" applyNumberFormat="1" applyFont="1" applyFill="1" applyBorder="1" applyAlignment="1">
      <alignment horizontal="center" vertical="center"/>
    </xf>
    <xf numFmtId="2" fontId="20" fillId="0" borderId="9" xfId="103" applyNumberFormat="1" applyFont="1" applyFill="1" applyBorder="1" applyAlignment="1">
      <alignment horizontal="center" vertical="center"/>
      <protection/>
    </xf>
    <xf numFmtId="0" fontId="20" fillId="0" borderId="9" xfId="103" applyFont="1" applyFill="1" applyBorder="1" applyAlignment="1">
      <alignment horizontal="center" vertical="center"/>
      <protection/>
    </xf>
    <xf numFmtId="174" fontId="20" fillId="0" borderId="9" xfId="53" applyNumberFormat="1" applyFont="1" applyFill="1" applyBorder="1" applyAlignment="1">
      <alignment vertical="center" wrapText="1"/>
    </xf>
    <xf numFmtId="0" fontId="20" fillId="0" borderId="9" xfId="103" applyFont="1" applyFill="1" applyBorder="1" applyAlignment="1">
      <alignment vertical="center"/>
      <protection/>
    </xf>
    <xf numFmtId="174" fontId="20" fillId="0" borderId="9" xfId="53" applyNumberFormat="1" applyFont="1" applyFill="1" applyBorder="1" applyAlignment="1">
      <alignment horizontal="center" vertical="center" wrapText="1"/>
    </xf>
    <xf numFmtId="174" fontId="20" fillId="0" borderId="9" xfId="51" applyNumberFormat="1" applyFont="1" applyFill="1" applyBorder="1" applyAlignment="1">
      <alignment horizontal="left" vertical="center" wrapText="1"/>
    </xf>
    <xf numFmtId="10" fontId="20" fillId="0" borderId="9" xfId="0" applyNumberFormat="1" applyFont="1" applyFill="1" applyBorder="1" applyAlignment="1">
      <alignment horizontal="center" vertical="center"/>
    </xf>
    <xf numFmtId="210" fontId="61" fillId="0" borderId="0" xfId="0" applyNumberFormat="1" applyFont="1" applyFill="1" applyAlignment="1">
      <alignment vertical="center"/>
    </xf>
    <xf numFmtId="174" fontId="20" fillId="0" borderId="9" xfId="53" applyNumberFormat="1" applyFont="1" applyFill="1" applyBorder="1" applyAlignment="1">
      <alignment horizontal="center" vertical="center"/>
    </xf>
    <xf numFmtId="10" fontId="20" fillId="0" borderId="9" xfId="103" applyNumberFormat="1" applyFont="1" applyFill="1" applyBorder="1" applyAlignment="1">
      <alignment horizontal="center" vertical="center"/>
      <protection/>
    </xf>
    <xf numFmtId="0" fontId="20" fillId="0" borderId="0" xfId="103" applyFont="1" applyFill="1" applyBorder="1" applyAlignment="1">
      <alignment horizontal="left" vertical="center" wrapText="1"/>
      <protection/>
    </xf>
    <xf numFmtId="175" fontId="20" fillId="0" borderId="0" xfId="53" applyNumberFormat="1" applyFont="1" applyFill="1" applyAlignment="1">
      <alignment vertical="center"/>
    </xf>
    <xf numFmtId="0" fontId="20" fillId="0" borderId="0" xfId="103" applyFont="1" applyFill="1" applyAlignment="1">
      <alignment horizontal="right" vertical="center" wrapText="1"/>
      <protection/>
    </xf>
    <xf numFmtId="0" fontId="20" fillId="0" borderId="0" xfId="103" applyFont="1" applyFill="1" applyAlignment="1">
      <alignment horizontal="left" vertical="center"/>
      <protection/>
    </xf>
    <xf numFmtId="178" fontId="78" fillId="0" borderId="9" xfId="58" applyNumberFormat="1" applyFont="1" applyFill="1" applyBorder="1" applyAlignment="1">
      <alignment vertical="center" wrapText="1"/>
    </xf>
    <xf numFmtId="178" fontId="78" fillId="0" borderId="9" xfId="58" applyNumberFormat="1" applyFont="1" applyFill="1" applyBorder="1" applyAlignment="1">
      <alignment horizontal="center" vertical="center" wrapText="1"/>
    </xf>
    <xf numFmtId="174" fontId="80" fillId="0" borderId="9" xfId="58" applyNumberFormat="1" applyFont="1" applyFill="1" applyBorder="1" applyAlignment="1">
      <alignment vertical="center" wrapText="1"/>
    </xf>
    <xf numFmtId="175" fontId="80" fillId="0" borderId="9" xfId="58" applyNumberFormat="1" applyFont="1" applyFill="1" applyBorder="1" applyAlignment="1">
      <alignment vertical="center"/>
    </xf>
    <xf numFmtId="174" fontId="78" fillId="0" borderId="9" xfId="58" applyNumberFormat="1" applyFont="1" applyFill="1" applyBorder="1" applyAlignment="1">
      <alignment vertical="center" wrapText="1"/>
    </xf>
    <xf numFmtId="4" fontId="78" fillId="0" borderId="9" xfId="58" applyNumberFormat="1" applyFont="1" applyFill="1" applyBorder="1" applyAlignment="1">
      <alignment vertical="center"/>
    </xf>
    <xf numFmtId="3" fontId="78" fillId="0" borderId="9" xfId="103" applyNumberFormat="1" applyFont="1" applyFill="1" applyBorder="1" applyAlignment="1">
      <alignment horizontal="right" vertical="center"/>
      <protection/>
    </xf>
    <xf numFmtId="174" fontId="79" fillId="0" borderId="9" xfId="58" applyNumberFormat="1" applyFont="1" applyFill="1" applyBorder="1" applyAlignment="1">
      <alignment vertical="center" wrapText="1"/>
    </xf>
    <xf numFmtId="3" fontId="78" fillId="0" borderId="9" xfId="58" applyNumberFormat="1" applyFont="1" applyFill="1" applyBorder="1" applyAlignment="1">
      <alignment horizontal="center" vertical="center"/>
    </xf>
    <xf numFmtId="0" fontId="20" fillId="0" borderId="9" xfId="0" applyFont="1" applyFill="1" applyBorder="1" applyAlignment="1" quotePrefix="1">
      <alignment horizontal="justify" vertical="center" wrapText="1"/>
    </xf>
    <xf numFmtId="3" fontId="61" fillId="0" borderId="9" xfId="51" applyNumberFormat="1" applyFont="1" applyFill="1" applyBorder="1" applyAlignment="1">
      <alignment horizontal="center" vertical="center" wrapText="1"/>
    </xf>
    <xf numFmtId="209" fontId="61" fillId="0" borderId="9" xfId="51" applyNumberFormat="1" applyFont="1" applyFill="1" applyBorder="1" applyAlignment="1">
      <alignment horizontal="right" vertical="center" wrapText="1"/>
    </xf>
    <xf numFmtId="203" fontId="61" fillId="0" borderId="9" xfId="51" applyNumberFormat="1" applyFont="1" applyFill="1" applyBorder="1" applyAlignment="1">
      <alignment horizontal="right" vertical="center" wrapText="1"/>
    </xf>
    <xf numFmtId="176" fontId="61" fillId="0" borderId="9" xfId="0" applyNumberFormat="1" applyFont="1" applyFill="1" applyBorder="1" applyAlignment="1">
      <alignment horizontal="right" vertical="center" wrapText="1"/>
    </xf>
    <xf numFmtId="202" fontId="61" fillId="0" borderId="9" xfId="51" applyNumberFormat="1" applyFont="1" applyFill="1" applyBorder="1" applyAlignment="1">
      <alignment horizontal="right" vertical="center" wrapText="1"/>
    </xf>
    <xf numFmtId="0" fontId="101" fillId="0" borderId="37" xfId="0" applyFont="1" applyFill="1" applyBorder="1" applyAlignment="1">
      <alignment horizontal="right" vertical="center"/>
    </xf>
    <xf numFmtId="43" fontId="61" fillId="0" borderId="9" xfId="51" applyNumberFormat="1" applyFont="1" applyFill="1" applyBorder="1" applyAlignment="1">
      <alignment horizontal="right" vertical="center" wrapText="1"/>
    </xf>
    <xf numFmtId="174" fontId="90" fillId="0" borderId="9" xfId="51" applyNumberFormat="1" applyFont="1" applyFill="1" applyBorder="1" applyAlignment="1">
      <alignment horizontal="right" vertical="center" wrapText="1"/>
    </xf>
    <xf numFmtId="174" fontId="103" fillId="0" borderId="9" xfId="51" applyNumberFormat="1" applyFont="1" applyFill="1" applyBorder="1" applyAlignment="1">
      <alignment horizontal="right" vertical="center" wrapText="1"/>
    </xf>
    <xf numFmtId="174" fontId="16" fillId="0" borderId="9" xfId="53" applyNumberFormat="1" applyFont="1" applyFill="1" applyBorder="1" applyAlignment="1">
      <alignment horizontal="right" vertical="center" wrapText="1"/>
    </xf>
    <xf numFmtId="174" fontId="37" fillId="0" borderId="9" xfId="53" applyNumberFormat="1" applyFont="1" applyFill="1" applyBorder="1" applyAlignment="1">
      <alignment horizontal="right" vertical="center" wrapText="1"/>
    </xf>
    <xf numFmtId="174" fontId="73" fillId="0" borderId="9" xfId="53" applyNumberFormat="1" applyFont="1" applyFill="1" applyBorder="1" applyAlignment="1">
      <alignment horizontal="right" vertical="center" wrapText="1"/>
    </xf>
    <xf numFmtId="43" fontId="20" fillId="0" borderId="9" xfId="103" applyNumberFormat="1" applyFont="1" applyFill="1" applyBorder="1" applyAlignment="1">
      <alignment horizontal="center" vertical="center"/>
      <protection/>
    </xf>
    <xf numFmtId="178" fontId="73" fillId="0" borderId="9" xfId="53" applyNumberFormat="1" applyFont="1" applyFill="1" applyBorder="1" applyAlignment="1">
      <alignment horizontal="right" vertical="center"/>
    </xf>
    <xf numFmtId="43" fontId="73" fillId="0" borderId="9" xfId="53" applyNumberFormat="1" applyFont="1" applyFill="1" applyBorder="1" applyAlignment="1">
      <alignment horizontal="right" vertical="center"/>
    </xf>
    <xf numFmtId="0" fontId="73" fillId="0" borderId="9" xfId="103" applyFont="1" applyFill="1" applyBorder="1" applyAlignment="1">
      <alignment horizontal="right" vertical="center"/>
      <protection/>
    </xf>
    <xf numFmtId="0" fontId="20" fillId="0" borderId="9" xfId="103" applyFont="1" applyFill="1" applyBorder="1" applyAlignment="1">
      <alignment horizontal="right" vertical="center" wrapText="1"/>
      <protection/>
    </xf>
    <xf numFmtId="174" fontId="20" fillId="0" borderId="9" xfId="53" applyNumberFormat="1" applyFont="1" applyFill="1" applyBorder="1" applyAlignment="1" quotePrefix="1">
      <alignment horizontal="right" vertical="center" wrapText="1"/>
    </xf>
    <xf numFmtId="43" fontId="20" fillId="0" borderId="9" xfId="53" applyNumberFormat="1" applyFont="1" applyFill="1" applyBorder="1" applyAlignment="1">
      <alignment horizontal="right" vertical="center" wrapText="1"/>
    </xf>
    <xf numFmtId="43" fontId="20" fillId="0" borderId="9" xfId="53" applyFont="1" applyFill="1" applyBorder="1" applyAlignment="1">
      <alignment horizontal="right" vertical="center" wrapText="1"/>
    </xf>
    <xf numFmtId="199" fontId="16" fillId="0" borderId="9" xfId="103" applyNumberFormat="1" applyFont="1" applyFill="1" applyBorder="1" applyAlignment="1">
      <alignment horizontal="right" vertical="center" wrapText="1"/>
      <protection/>
    </xf>
    <xf numFmtId="178" fontId="20" fillId="0" borderId="9" xfId="103" applyNumberFormat="1" applyFont="1" applyFill="1" applyBorder="1" applyAlignment="1">
      <alignment horizontal="center" vertical="center"/>
      <protection/>
    </xf>
    <xf numFmtId="174" fontId="16" fillId="0" borderId="9" xfId="53" applyNumberFormat="1" applyFont="1" applyFill="1" applyBorder="1" applyAlignment="1">
      <alignment horizontal="right" vertical="center" wrapText="1"/>
    </xf>
    <xf numFmtId="174" fontId="20" fillId="0" borderId="9" xfId="53" applyNumberFormat="1" applyFont="1" applyFill="1" applyBorder="1" applyAlignment="1">
      <alignment horizontal="right" vertical="center" wrapText="1"/>
    </xf>
    <xf numFmtId="174" fontId="73" fillId="0" borderId="9" xfId="103" applyNumberFormat="1" applyFont="1" applyFill="1" applyBorder="1" applyAlignment="1">
      <alignment horizontal="right" vertical="center"/>
      <protection/>
    </xf>
    <xf numFmtId="202" fontId="16" fillId="0" borderId="9" xfId="53" applyNumberFormat="1" applyFont="1" applyFill="1" applyBorder="1" applyAlignment="1">
      <alignment horizontal="right" vertical="center" wrapText="1"/>
    </xf>
    <xf numFmtId="43" fontId="73" fillId="0" borderId="9" xfId="53" applyNumberFormat="1" applyFont="1" applyFill="1" applyBorder="1" applyAlignment="1">
      <alignment horizontal="right" vertical="center" wrapText="1"/>
    </xf>
    <xf numFmtId="200" fontId="73" fillId="0" borderId="9" xfId="103" applyNumberFormat="1" applyFont="1" applyFill="1" applyBorder="1" applyAlignment="1">
      <alignment horizontal="right" vertical="center"/>
      <protection/>
    </xf>
    <xf numFmtId="200" fontId="73" fillId="0" borderId="9" xfId="103" applyNumberFormat="1" applyFont="1" applyFill="1" applyBorder="1" applyAlignment="1">
      <alignment horizontal="center" vertical="center"/>
      <protection/>
    </xf>
    <xf numFmtId="0" fontId="20" fillId="0" borderId="9" xfId="103" applyFont="1" applyFill="1" applyBorder="1" applyAlignment="1" quotePrefix="1">
      <alignment horizontal="right" vertical="center" wrapText="1"/>
      <protection/>
    </xf>
    <xf numFmtId="177" fontId="20" fillId="0" borderId="9" xfId="103" applyNumberFormat="1" applyFont="1" applyFill="1" applyBorder="1" applyAlignment="1" quotePrefix="1">
      <alignment horizontal="right" vertical="center" wrapText="1"/>
      <protection/>
    </xf>
    <xf numFmtId="0" fontId="71" fillId="0" borderId="38" xfId="103" applyFont="1" applyFill="1" applyBorder="1" applyAlignment="1">
      <alignment vertical="center" wrapText="1"/>
      <protection/>
    </xf>
    <xf numFmtId="4" fontId="16" fillId="0" borderId="9" xfId="103" applyNumberFormat="1" applyFont="1" applyFill="1" applyBorder="1" applyAlignment="1">
      <alignment horizontal="center" vertical="center" wrapText="1"/>
      <protection/>
    </xf>
    <xf numFmtId="4" fontId="20" fillId="0" borderId="9" xfId="103" applyNumberFormat="1" applyFont="1" applyFill="1" applyBorder="1" applyAlignment="1">
      <alignment horizontal="center" vertical="center" wrapText="1"/>
      <protection/>
    </xf>
    <xf numFmtId="37" fontId="20" fillId="0" borderId="9" xfId="53" applyNumberFormat="1" applyFont="1" applyFill="1" applyBorder="1" applyAlignment="1">
      <alignment horizontal="center" vertical="center"/>
    </xf>
    <xf numFmtId="3" fontId="16" fillId="0" borderId="9" xfId="53" applyNumberFormat="1" applyFont="1" applyFill="1" applyBorder="1" applyAlignment="1">
      <alignment horizontal="center" vertical="center"/>
    </xf>
    <xf numFmtId="4" fontId="16" fillId="0" borderId="9" xfId="103" applyNumberFormat="1" applyFont="1" applyFill="1" applyBorder="1" applyAlignment="1">
      <alignment horizontal="center" vertical="center"/>
      <protection/>
    </xf>
    <xf numFmtId="37" fontId="16" fillId="0" borderId="9" xfId="53" applyNumberFormat="1" applyFont="1" applyFill="1" applyBorder="1" applyAlignment="1">
      <alignment horizontal="center" vertical="center"/>
    </xf>
    <xf numFmtId="175" fontId="73" fillId="0" borderId="9" xfId="53" applyNumberFormat="1" applyFont="1" applyFill="1" applyBorder="1" applyAlignment="1">
      <alignment horizontal="left" vertical="center"/>
    </xf>
    <xf numFmtId="174" fontId="73" fillId="0" borderId="9" xfId="53" applyNumberFormat="1" applyFont="1" applyFill="1" applyBorder="1" applyAlignment="1">
      <alignment horizontal="center" vertical="center"/>
    </xf>
    <xf numFmtId="0" fontId="93" fillId="0" borderId="9" xfId="103" applyFont="1" applyFill="1" applyBorder="1" applyAlignment="1">
      <alignment horizontal="center" vertical="center"/>
      <protection/>
    </xf>
    <xf numFmtId="175" fontId="20" fillId="0" borderId="9" xfId="53" applyNumberFormat="1" applyFont="1" applyFill="1" applyBorder="1" applyAlignment="1">
      <alignment horizontal="left" vertical="center" indent="3"/>
    </xf>
    <xf numFmtId="175" fontId="37" fillId="0" borderId="9" xfId="53" applyNumberFormat="1" applyFont="1" applyFill="1" applyBorder="1" applyAlignment="1">
      <alignment horizontal="left" vertical="center"/>
    </xf>
    <xf numFmtId="3" fontId="92" fillId="0" borderId="9" xfId="0" applyNumberFormat="1" applyFont="1" applyFill="1" applyBorder="1" applyAlignment="1">
      <alignment/>
    </xf>
    <xf numFmtId="178" fontId="22" fillId="0" borderId="9" xfId="58" applyNumberFormat="1" applyFont="1" applyFill="1" applyBorder="1" applyAlignment="1">
      <alignment horizontal="right" vertical="center" wrapText="1"/>
    </xf>
    <xf numFmtId="2" fontId="19" fillId="0" borderId="9" xfId="0" applyNumberFormat="1" applyFont="1" applyFill="1" applyBorder="1" applyAlignment="1">
      <alignment/>
    </xf>
    <xf numFmtId="0" fontId="113" fillId="0" borderId="0" xfId="103" applyFont="1" applyFill="1" applyBorder="1" applyAlignment="1">
      <alignment horizontal="right" vertical="center"/>
      <protection/>
    </xf>
    <xf numFmtId="0" fontId="71" fillId="0" borderId="0" xfId="0" applyFont="1" applyFill="1" applyBorder="1" applyAlignment="1">
      <alignment vertical="center"/>
    </xf>
    <xf numFmtId="0" fontId="101" fillId="0" borderId="0" xfId="0" applyFont="1" applyFill="1" applyBorder="1" applyAlignment="1">
      <alignment horizontal="right" vertical="center"/>
    </xf>
    <xf numFmtId="176" fontId="21" fillId="0" borderId="9" xfId="51" applyNumberFormat="1" applyFont="1" applyFill="1" applyBorder="1" applyAlignment="1">
      <alignment horizontal="right" vertical="center" wrapText="1"/>
    </xf>
    <xf numFmtId="221" fontId="21" fillId="0" borderId="9" xfId="51" applyNumberFormat="1" applyFont="1" applyFill="1" applyBorder="1" applyAlignment="1">
      <alignment horizontal="right" vertical="center" wrapText="1"/>
    </xf>
    <xf numFmtId="202" fontId="60" fillId="0" borderId="0" xfId="103" applyNumberFormat="1" applyFont="1" applyFill="1" applyAlignment="1">
      <alignment vertical="center"/>
      <protection/>
    </xf>
    <xf numFmtId="178" fontId="20" fillId="0" borderId="9" xfId="103" applyNumberFormat="1" applyFont="1" applyFill="1" applyBorder="1" applyAlignment="1">
      <alignment horizontal="center" vertical="center"/>
      <protection/>
    </xf>
    <xf numFmtId="176" fontId="60" fillId="0" borderId="0" xfId="0" applyNumberFormat="1" applyFont="1" applyFill="1" applyAlignment="1">
      <alignment vertical="center"/>
    </xf>
    <xf numFmtId="43" fontId="61" fillId="0" borderId="0" xfId="103" applyNumberFormat="1" applyFont="1" applyFill="1" applyAlignment="1">
      <alignment vertical="center"/>
      <protection/>
    </xf>
    <xf numFmtId="3" fontId="60" fillId="0" borderId="0" xfId="103" applyNumberFormat="1" applyFont="1" applyFill="1" applyAlignment="1">
      <alignment vertical="center"/>
      <protection/>
    </xf>
    <xf numFmtId="3" fontId="61" fillId="0" borderId="0" xfId="103" applyNumberFormat="1" applyFont="1" applyFill="1" applyAlignment="1">
      <alignment vertical="center"/>
      <protection/>
    </xf>
    <xf numFmtId="202" fontId="20" fillId="0" borderId="9" xfId="103" applyNumberFormat="1" applyFont="1" applyFill="1" applyBorder="1" applyAlignment="1">
      <alignment horizontal="right" vertical="center"/>
      <protection/>
    </xf>
    <xf numFmtId="2" fontId="16" fillId="0" borderId="9" xfId="103" applyNumberFormat="1" applyFont="1" applyFill="1" applyBorder="1" applyAlignment="1">
      <alignment horizontal="center" vertical="center"/>
      <protection/>
    </xf>
    <xf numFmtId="3" fontId="73" fillId="0" borderId="9" xfId="0" applyNumberFormat="1" applyFont="1" applyFill="1" applyBorder="1" applyAlignment="1">
      <alignment horizontal="center" vertical="center"/>
    </xf>
    <xf numFmtId="178" fontId="120" fillId="0" borderId="9" xfId="53" applyNumberFormat="1" applyFont="1" applyFill="1" applyBorder="1" applyAlignment="1">
      <alignment vertical="center" wrapText="1"/>
    </xf>
    <xf numFmtId="178" fontId="120" fillId="0" borderId="9" xfId="103" applyNumberFormat="1" applyFont="1" applyFill="1" applyBorder="1" applyAlignment="1">
      <alignment horizontal="right" vertical="center" wrapText="1"/>
      <protection/>
    </xf>
    <xf numFmtId="0" fontId="120" fillId="0" borderId="9" xfId="103" applyFont="1" applyFill="1" applyBorder="1" applyAlignment="1">
      <alignment horizontal="right" vertical="center"/>
      <protection/>
    </xf>
    <xf numFmtId="4" fontId="120" fillId="0" borderId="9" xfId="53" applyNumberFormat="1" applyFont="1" applyFill="1" applyBorder="1" applyAlignment="1">
      <alignment horizontal="right" vertical="center"/>
    </xf>
    <xf numFmtId="0" fontId="119" fillId="0" borderId="9" xfId="103" applyFont="1" applyFill="1" applyBorder="1" applyAlignment="1">
      <alignment horizontal="right" vertical="center"/>
      <protection/>
    </xf>
    <xf numFmtId="2" fontId="119" fillId="0" borderId="9" xfId="103" applyNumberFormat="1" applyFont="1" applyFill="1" applyBorder="1" applyAlignment="1">
      <alignment horizontal="right" vertical="center"/>
      <protection/>
    </xf>
    <xf numFmtId="4" fontId="119" fillId="0" borderId="9" xfId="53" applyNumberFormat="1" applyFont="1" applyFill="1" applyBorder="1" applyAlignment="1">
      <alignment horizontal="right" vertical="center"/>
    </xf>
    <xf numFmtId="178" fontId="119" fillId="0" borderId="9" xfId="103" applyNumberFormat="1" applyFont="1" applyFill="1" applyBorder="1" applyAlignment="1">
      <alignment horizontal="right" vertical="center"/>
      <protection/>
    </xf>
    <xf numFmtId="178" fontId="120" fillId="0" borderId="9" xfId="53" applyNumberFormat="1" applyFont="1" applyFill="1" applyBorder="1" applyAlignment="1">
      <alignment horizontal="right" vertical="center" wrapText="1"/>
    </xf>
    <xf numFmtId="178" fontId="119" fillId="0" borderId="9" xfId="53" applyNumberFormat="1" applyFont="1" applyFill="1" applyBorder="1" applyAlignment="1">
      <alignment horizontal="right" vertical="center" wrapText="1"/>
    </xf>
    <xf numFmtId="178" fontId="120" fillId="0" borderId="9" xfId="53" applyNumberFormat="1" applyFont="1" applyFill="1" applyBorder="1" applyAlignment="1">
      <alignment horizontal="right" vertical="center"/>
    </xf>
    <xf numFmtId="43" fontId="119" fillId="0" borderId="9" xfId="103" applyNumberFormat="1" applyFont="1" applyFill="1" applyBorder="1" applyAlignment="1">
      <alignment horizontal="right" vertical="center"/>
      <protection/>
    </xf>
    <xf numFmtId="43" fontId="119" fillId="0" borderId="9" xfId="53" applyNumberFormat="1" applyFont="1" applyFill="1" applyBorder="1" applyAlignment="1">
      <alignment horizontal="right" vertical="center"/>
    </xf>
    <xf numFmtId="178" fontId="120" fillId="0" borderId="9" xfId="103" applyNumberFormat="1" applyFont="1" applyFill="1" applyBorder="1" applyAlignment="1">
      <alignment horizontal="right" vertical="center"/>
      <protection/>
    </xf>
    <xf numFmtId="2" fontId="119" fillId="0" borderId="9" xfId="103" applyNumberFormat="1" applyFont="1" applyFill="1" applyBorder="1" applyAlignment="1">
      <alignment horizontal="right" vertical="center"/>
      <protection/>
    </xf>
    <xf numFmtId="4" fontId="119" fillId="0" borderId="9" xfId="53" applyNumberFormat="1" applyFont="1" applyFill="1" applyBorder="1" applyAlignment="1">
      <alignment horizontal="right" vertical="center"/>
    </xf>
    <xf numFmtId="0" fontId="119" fillId="0" borderId="9" xfId="115" applyFont="1" applyFill="1" applyBorder="1" applyAlignment="1">
      <alignment horizontal="justify" vertical="center" wrapText="1"/>
      <protection/>
    </xf>
    <xf numFmtId="2" fontId="120" fillId="0" borderId="9" xfId="103" applyNumberFormat="1" applyFont="1" applyFill="1" applyBorder="1" applyAlignment="1">
      <alignment horizontal="right" vertical="center"/>
      <protection/>
    </xf>
    <xf numFmtId="43" fontId="120" fillId="0" borderId="9" xfId="53" applyNumberFormat="1" applyFont="1" applyFill="1" applyBorder="1" applyAlignment="1">
      <alignment horizontal="right" vertical="center"/>
    </xf>
    <xf numFmtId="3" fontId="120" fillId="0" borderId="9" xfId="103" applyNumberFormat="1" applyFont="1" applyFill="1" applyBorder="1" applyAlignment="1">
      <alignment vertical="center"/>
      <protection/>
    </xf>
    <xf numFmtId="4" fontId="103" fillId="0" borderId="9" xfId="103" applyNumberFormat="1" applyFont="1" applyFill="1" applyBorder="1" applyAlignment="1">
      <alignment horizontal="right" vertical="center" wrapText="1"/>
      <protection/>
    </xf>
    <xf numFmtId="4" fontId="120" fillId="0" borderId="9" xfId="103" applyNumberFormat="1" applyFont="1" applyFill="1" applyBorder="1" applyAlignment="1">
      <alignment vertical="center"/>
      <protection/>
    </xf>
    <xf numFmtId="3" fontId="119" fillId="0" borderId="9" xfId="103" applyNumberFormat="1" applyFont="1" applyFill="1" applyBorder="1" applyAlignment="1">
      <alignment vertical="center"/>
      <protection/>
    </xf>
    <xf numFmtId="4" fontId="90" fillId="0" borderId="9" xfId="103" applyNumberFormat="1" applyFont="1" applyFill="1" applyBorder="1" applyAlignment="1">
      <alignment horizontal="right" vertical="center" wrapText="1"/>
      <protection/>
    </xf>
    <xf numFmtId="0" fontId="121" fillId="0" borderId="9" xfId="103" applyFont="1" applyFill="1" applyBorder="1" applyAlignment="1">
      <alignment horizontal="right" vertical="center"/>
      <protection/>
    </xf>
    <xf numFmtId="3" fontId="119" fillId="0" borderId="9" xfId="53" applyNumberFormat="1" applyFont="1" applyFill="1" applyBorder="1" applyAlignment="1">
      <alignment vertical="center"/>
    </xf>
    <xf numFmtId="3" fontId="120" fillId="0" borderId="9" xfId="103" applyNumberFormat="1" applyFont="1" applyFill="1" applyBorder="1" applyAlignment="1">
      <alignment horizontal="right" vertical="center"/>
      <protection/>
    </xf>
    <xf numFmtId="4" fontId="120" fillId="0" borderId="9" xfId="103" applyNumberFormat="1" applyFont="1" applyFill="1" applyBorder="1" applyAlignment="1">
      <alignment horizontal="right" vertical="center"/>
      <protection/>
    </xf>
    <xf numFmtId="3" fontId="119" fillId="0" borderId="9" xfId="103" applyNumberFormat="1" applyFont="1" applyFill="1" applyBorder="1" applyAlignment="1">
      <alignment horizontal="right" vertical="center"/>
      <protection/>
    </xf>
    <xf numFmtId="3" fontId="119" fillId="0" borderId="9" xfId="53" applyNumberFormat="1" applyFont="1" applyFill="1" applyBorder="1" applyAlignment="1">
      <alignment horizontal="right" vertical="center"/>
    </xf>
    <xf numFmtId="174" fontId="119" fillId="0" borderId="9" xfId="103" applyNumberFormat="1" applyFont="1" applyFill="1" applyBorder="1" applyAlignment="1">
      <alignment horizontal="right" vertical="center"/>
      <protection/>
    </xf>
    <xf numFmtId="2" fontId="119" fillId="0" borderId="9" xfId="103" applyNumberFormat="1" applyFont="1" applyFill="1" applyBorder="1" applyAlignment="1" quotePrefix="1">
      <alignment horizontal="right" vertical="center" wrapText="1"/>
      <protection/>
    </xf>
    <xf numFmtId="0" fontId="119" fillId="0" borderId="9" xfId="103" applyFont="1" applyFill="1" applyBorder="1" applyAlignment="1" quotePrefix="1">
      <alignment horizontal="right" vertical="center" wrapText="1"/>
      <protection/>
    </xf>
    <xf numFmtId="212" fontId="119" fillId="0" borderId="9" xfId="51" applyNumberFormat="1" applyFont="1" applyFill="1" applyBorder="1" applyAlignment="1">
      <alignment horizontal="center" vertical="center"/>
    </xf>
    <xf numFmtId="211" fontId="119" fillId="0" borderId="9" xfId="0" applyNumberFormat="1" applyFont="1" applyFill="1" applyBorder="1" applyAlignment="1">
      <alignment horizontal="center" vertical="center"/>
    </xf>
    <xf numFmtId="202" fontId="119" fillId="0" borderId="9" xfId="51" applyNumberFormat="1" applyFont="1" applyFill="1" applyBorder="1" applyAlignment="1">
      <alignment horizontal="center" vertical="center"/>
    </xf>
    <xf numFmtId="43" fontId="119" fillId="0" borderId="9" xfId="51" applyNumberFormat="1" applyFont="1" applyFill="1" applyBorder="1" applyAlignment="1">
      <alignment horizontal="center" vertical="center"/>
    </xf>
    <xf numFmtId="207" fontId="119" fillId="0" borderId="9" xfId="51" applyNumberFormat="1" applyFont="1" applyFill="1" applyBorder="1" applyAlignment="1">
      <alignment horizontal="center" vertical="center"/>
    </xf>
    <xf numFmtId="4" fontId="110" fillId="0" borderId="9" xfId="53" applyNumberFormat="1" applyFont="1" applyFill="1" applyBorder="1" applyAlignment="1">
      <alignment horizontal="center" vertical="center"/>
    </xf>
    <xf numFmtId="175" fontId="119" fillId="0" borderId="9" xfId="53" applyNumberFormat="1" applyFont="1" applyFill="1" applyBorder="1" applyAlignment="1">
      <alignment horizontal="center" vertical="center"/>
    </xf>
    <xf numFmtId="175" fontId="110" fillId="0" borderId="9" xfId="103" applyNumberFormat="1" applyFont="1" applyFill="1" applyBorder="1" applyAlignment="1">
      <alignment horizontal="right" vertical="center" wrapText="1"/>
      <protection/>
    </xf>
    <xf numFmtId="175" fontId="20" fillId="0" borderId="9" xfId="53" applyNumberFormat="1" applyFont="1" applyFill="1" applyBorder="1" applyAlignment="1">
      <alignment horizontal="center" vertical="center"/>
    </xf>
    <xf numFmtId="175" fontId="20" fillId="0" borderId="9" xfId="103" applyNumberFormat="1" applyFont="1" applyBorder="1" applyAlignment="1">
      <alignment horizontal="right" wrapText="1"/>
      <protection/>
    </xf>
    <xf numFmtId="175" fontId="20" fillId="0" borderId="9" xfId="103" applyNumberFormat="1" applyFont="1" applyBorder="1" applyAlignment="1">
      <alignment horizontal="right" vertical="center" wrapText="1"/>
      <protection/>
    </xf>
    <xf numFmtId="175" fontId="94" fillId="0" borderId="9" xfId="103" applyNumberFormat="1" applyFont="1" applyBorder="1" applyAlignment="1">
      <alignment horizontal="right" vertical="center" wrapText="1"/>
      <protection/>
    </xf>
    <xf numFmtId="175" fontId="111" fillId="0" borderId="9" xfId="117" applyNumberFormat="1" applyFont="1" applyFill="1" applyBorder="1" applyAlignment="1">
      <alignment horizontal="right"/>
      <protection/>
    </xf>
    <xf numFmtId="175" fontId="111" fillId="0" borderId="9" xfId="53" applyNumberFormat="1" applyFont="1" applyBorder="1" applyAlignment="1">
      <alignment horizontal="right"/>
    </xf>
    <xf numFmtId="175" fontId="111" fillId="0" borderId="9" xfId="53" applyNumberFormat="1" applyFont="1" applyFill="1" applyBorder="1" applyAlignment="1">
      <alignment horizontal="right"/>
    </xf>
    <xf numFmtId="175" fontId="110" fillId="0" borderId="9" xfId="103" applyNumberFormat="1" applyFont="1" applyBorder="1" applyAlignment="1">
      <alignment horizontal="right" wrapText="1"/>
      <protection/>
    </xf>
    <xf numFmtId="39" fontId="123" fillId="0" borderId="9" xfId="53" applyNumberFormat="1" applyFont="1" applyFill="1" applyBorder="1" applyAlignment="1">
      <alignment horizontal="center" vertical="center"/>
    </xf>
    <xf numFmtId="4" fontId="110" fillId="0" borderId="9" xfId="103" applyNumberFormat="1" applyFont="1" applyFill="1" applyBorder="1" applyAlignment="1">
      <alignment horizontal="center" vertical="center" wrapText="1"/>
      <protection/>
    </xf>
    <xf numFmtId="174" fontId="119" fillId="34" borderId="9" xfId="53" applyNumberFormat="1" applyFont="1" applyFill="1" applyBorder="1" applyAlignment="1">
      <alignment horizontal="center" vertical="center"/>
    </xf>
    <xf numFmtId="175" fontId="110" fillId="0" borderId="9" xfId="53" applyNumberFormat="1" applyFont="1" applyFill="1" applyBorder="1" applyAlignment="1">
      <alignment horizontal="center" vertical="center"/>
    </xf>
    <xf numFmtId="4" fontId="123" fillId="0" borderId="9" xfId="103" applyNumberFormat="1" applyFont="1" applyFill="1" applyBorder="1" applyAlignment="1">
      <alignment horizontal="center" vertical="center" wrapText="1"/>
      <protection/>
    </xf>
    <xf numFmtId="4" fontId="16" fillId="0" borderId="9" xfId="53" applyNumberFormat="1" applyFont="1" applyFill="1" applyBorder="1" applyAlignment="1">
      <alignment horizontal="center" vertical="center"/>
    </xf>
    <xf numFmtId="175" fontId="123" fillId="0" borderId="9" xfId="53" applyNumberFormat="1" applyFont="1" applyFill="1" applyBorder="1" applyAlignment="1">
      <alignment horizontal="center" vertical="center"/>
    </xf>
    <xf numFmtId="4" fontId="94" fillId="0" borderId="9" xfId="53" applyNumberFormat="1" applyFont="1" applyFill="1" applyBorder="1" applyAlignment="1">
      <alignment horizontal="center" vertical="center"/>
    </xf>
    <xf numFmtId="4" fontId="94" fillId="0" borderId="9" xfId="103" applyNumberFormat="1" applyFont="1" applyFill="1" applyBorder="1" applyAlignment="1">
      <alignment horizontal="center" vertical="center" wrapText="1"/>
      <protection/>
    </xf>
    <xf numFmtId="175" fontId="73" fillId="0" borderId="9" xfId="53" applyNumberFormat="1" applyFont="1" applyFill="1" applyBorder="1" applyAlignment="1">
      <alignment horizontal="center" vertical="center"/>
    </xf>
    <xf numFmtId="4" fontId="20" fillId="0" borderId="9" xfId="53" applyNumberFormat="1" applyFont="1" applyFill="1" applyBorder="1" applyAlignment="1">
      <alignment horizontal="center" vertical="center"/>
    </xf>
    <xf numFmtId="4" fontId="16" fillId="0" borderId="0" xfId="103" applyNumberFormat="1" applyFont="1" applyFill="1" applyAlignment="1">
      <alignment vertical="center"/>
      <protection/>
    </xf>
    <xf numFmtId="2" fontId="159" fillId="0" borderId="9" xfId="103" applyNumberFormat="1" applyFont="1" applyFill="1" applyBorder="1" applyAlignment="1">
      <alignment horizontal="right" vertical="center"/>
      <protection/>
    </xf>
    <xf numFmtId="0" fontId="159" fillId="0" borderId="9" xfId="103" applyFont="1" applyFill="1" applyBorder="1" applyAlignment="1">
      <alignment horizontal="right" vertical="center"/>
      <protection/>
    </xf>
    <xf numFmtId="177" fontId="159" fillId="0" borderId="9" xfId="103" applyNumberFormat="1" applyFont="1" applyFill="1" applyBorder="1" applyAlignment="1">
      <alignment horizontal="right" vertical="center"/>
      <protection/>
    </xf>
    <xf numFmtId="2" fontId="160" fillId="0" borderId="9" xfId="103" applyNumberFormat="1" applyFont="1" applyFill="1" applyBorder="1" applyAlignment="1">
      <alignment horizontal="right" vertical="center"/>
      <protection/>
    </xf>
    <xf numFmtId="179" fontId="159" fillId="0" borderId="9" xfId="103" applyNumberFormat="1" applyFont="1" applyFill="1" applyBorder="1" applyAlignment="1">
      <alignment horizontal="right" vertical="center"/>
      <protection/>
    </xf>
    <xf numFmtId="175" fontId="159" fillId="0" borderId="18" xfId="53" applyNumberFormat="1" applyFont="1" applyFill="1" applyBorder="1" applyAlignment="1">
      <alignment horizontal="right" vertical="center"/>
    </xf>
    <xf numFmtId="177" fontId="161" fillId="0" borderId="9" xfId="103" applyNumberFormat="1" applyFont="1" applyFill="1" applyBorder="1" applyAlignment="1">
      <alignment horizontal="right" vertical="center"/>
      <protection/>
    </xf>
    <xf numFmtId="3" fontId="21" fillId="0" borderId="0" xfId="0" applyNumberFormat="1" applyFont="1" applyFill="1" applyAlignment="1">
      <alignment/>
    </xf>
    <xf numFmtId="3" fontId="61" fillId="0" borderId="0" xfId="0" applyNumberFormat="1" applyFont="1" applyFill="1" applyAlignment="1">
      <alignment/>
    </xf>
    <xf numFmtId="0" fontId="21" fillId="0" borderId="39" xfId="0" applyFont="1" applyFill="1" applyBorder="1" applyAlignment="1">
      <alignment horizontal="right" vertical="center" wrapText="1"/>
    </xf>
    <xf numFmtId="178" fontId="61" fillId="0" borderId="39" xfId="0" applyNumberFormat="1" applyFont="1" applyFill="1" applyBorder="1" applyAlignment="1">
      <alignment horizontal="right" vertical="center" wrapText="1"/>
    </xf>
    <xf numFmtId="0" fontId="61" fillId="0" borderId="39" xfId="0" applyFont="1" applyFill="1" applyBorder="1" applyAlignment="1">
      <alignment horizontal="right" vertical="center" wrapText="1"/>
    </xf>
    <xf numFmtId="0" fontId="60" fillId="0" borderId="0" xfId="0" applyFont="1" applyFill="1" applyAlignment="1">
      <alignment/>
    </xf>
    <xf numFmtId="178" fontId="21" fillId="0" borderId="0" xfId="0" applyNumberFormat="1" applyFont="1" applyFill="1" applyAlignment="1">
      <alignment/>
    </xf>
    <xf numFmtId="3" fontId="20" fillId="0" borderId="9" xfId="60" applyNumberFormat="1" applyFont="1" applyFill="1" applyBorder="1" applyAlignment="1">
      <alignment vertical="center" wrapText="1"/>
    </xf>
    <xf numFmtId="3" fontId="20" fillId="0" borderId="9" xfId="60" applyNumberFormat="1" applyFont="1" applyFill="1" applyBorder="1" applyAlignment="1">
      <alignment horizontal="center" vertical="center" wrapText="1"/>
    </xf>
    <xf numFmtId="3" fontId="159" fillId="0" borderId="9" xfId="103" applyNumberFormat="1" applyFont="1" applyFill="1" applyBorder="1" applyAlignment="1">
      <alignment vertical="center"/>
      <protection/>
    </xf>
    <xf numFmtId="3" fontId="159" fillId="0" borderId="9" xfId="60" applyNumberFormat="1" applyFont="1" applyFill="1" applyBorder="1" applyAlignment="1">
      <alignment vertical="center"/>
    </xf>
    <xf numFmtId="43" fontId="20" fillId="0" borderId="9" xfId="60" applyNumberFormat="1" applyFont="1" applyFill="1" applyBorder="1" applyAlignment="1">
      <alignment horizontal="right" vertical="center" wrapText="1"/>
    </xf>
    <xf numFmtId="4" fontId="20" fillId="0" borderId="9" xfId="60" applyNumberFormat="1" applyFont="1" applyFill="1" applyBorder="1" applyAlignment="1">
      <alignment horizontal="right" vertical="center"/>
    </xf>
    <xf numFmtId="4" fontId="159" fillId="0" borderId="9" xfId="60" applyNumberFormat="1" applyFont="1" applyFill="1" applyBorder="1" applyAlignment="1">
      <alignment horizontal="right" vertical="center"/>
    </xf>
    <xf numFmtId="3" fontId="159" fillId="0" borderId="9" xfId="103" applyNumberFormat="1" applyFont="1" applyFill="1" applyBorder="1" applyAlignment="1">
      <alignment horizontal="right" vertical="center"/>
      <protection/>
    </xf>
    <xf numFmtId="3" fontId="159" fillId="0" borderId="9" xfId="60" applyNumberFormat="1" applyFont="1" applyFill="1" applyBorder="1" applyAlignment="1">
      <alignment horizontal="right" vertical="center"/>
    </xf>
    <xf numFmtId="0" fontId="159" fillId="0" borderId="9" xfId="0" applyFont="1" applyFill="1" applyBorder="1" applyAlignment="1">
      <alignment horizontal="center" vertical="center"/>
    </xf>
    <xf numFmtId="4" fontId="159" fillId="0" borderId="9" xfId="60" applyNumberFormat="1" applyFont="1" applyFill="1" applyBorder="1" applyAlignment="1" quotePrefix="1">
      <alignment horizontal="right" vertical="center"/>
    </xf>
    <xf numFmtId="175" fontId="160" fillId="0" borderId="9" xfId="60" applyNumberFormat="1" applyFont="1" applyFill="1" applyBorder="1" applyAlignment="1">
      <alignment vertical="center"/>
    </xf>
    <xf numFmtId="175" fontId="159" fillId="0" borderId="9" xfId="60" applyNumberFormat="1" applyFont="1" applyFill="1" applyBorder="1" applyAlignment="1">
      <alignment vertical="center"/>
    </xf>
    <xf numFmtId="4" fontId="159" fillId="0" borderId="9" xfId="60" applyNumberFormat="1" applyFont="1" applyFill="1" applyBorder="1" applyAlignment="1">
      <alignment vertical="center"/>
    </xf>
    <xf numFmtId="174" fontId="159" fillId="0" borderId="9" xfId="60" applyNumberFormat="1" applyFont="1" applyFill="1" applyBorder="1" applyAlignment="1">
      <alignment horizontal="right" vertical="center" wrapText="1"/>
    </xf>
    <xf numFmtId="175" fontId="159" fillId="0" borderId="9" xfId="60" applyNumberFormat="1" applyFont="1" applyFill="1" applyBorder="1" applyAlignment="1">
      <alignment horizontal="right" vertical="center"/>
    </xf>
    <xf numFmtId="174" fontId="159" fillId="0" borderId="9" xfId="60" applyNumberFormat="1" applyFont="1" applyFill="1" applyBorder="1" applyAlignment="1">
      <alignment vertical="center" wrapText="1"/>
    </xf>
    <xf numFmtId="174" fontId="159" fillId="0" borderId="9" xfId="60" applyNumberFormat="1" applyFont="1" applyFill="1" applyBorder="1" applyAlignment="1">
      <alignment horizontal="center" vertical="center" wrapText="1"/>
    </xf>
    <xf numFmtId="175" fontId="159" fillId="0" borderId="9" xfId="60" applyNumberFormat="1" applyFont="1" applyFill="1" applyBorder="1" applyAlignment="1">
      <alignment horizontal="center" vertical="center"/>
    </xf>
    <xf numFmtId="4" fontId="159" fillId="0" borderId="9" xfId="60" applyNumberFormat="1" applyFont="1" applyFill="1" applyBorder="1" applyAlignment="1">
      <alignment horizontal="center" vertical="center"/>
    </xf>
    <xf numFmtId="43" fontId="159" fillId="0" borderId="9" xfId="60" applyNumberFormat="1" applyFont="1" applyFill="1" applyBorder="1" applyAlignment="1">
      <alignment vertical="center" wrapText="1"/>
    </xf>
    <xf numFmtId="43" fontId="159" fillId="0" borderId="9" xfId="60" applyNumberFormat="1" applyFont="1" applyFill="1" applyBorder="1" applyAlignment="1">
      <alignment horizontal="right" vertical="center" wrapText="1"/>
    </xf>
    <xf numFmtId="43" fontId="159" fillId="0" borderId="9" xfId="53" applyFont="1" applyFill="1" applyBorder="1" applyAlignment="1">
      <alignment horizontal="right" vertical="center"/>
    </xf>
    <xf numFmtId="0" fontId="61" fillId="0" borderId="9" xfId="108" applyFont="1" applyFill="1" applyBorder="1" applyAlignment="1">
      <alignment horizontal="center" vertical="center"/>
      <protection/>
    </xf>
    <xf numFmtId="0" fontId="61" fillId="0" borderId="9" xfId="108" applyFont="1" applyFill="1" applyBorder="1" applyAlignment="1">
      <alignment horizontal="left" vertical="center" wrapText="1"/>
      <protection/>
    </xf>
    <xf numFmtId="0" fontId="61" fillId="0" borderId="9" xfId="108" applyFont="1" applyFill="1" applyBorder="1" applyAlignment="1">
      <alignment horizontal="center" vertical="center" wrapText="1"/>
      <protection/>
    </xf>
    <xf numFmtId="4" fontId="117" fillId="0" borderId="9" xfId="57" applyNumberFormat="1" applyFont="1" applyFill="1" applyBorder="1" applyAlignment="1">
      <alignment vertical="center"/>
    </xf>
    <xf numFmtId="4" fontId="103" fillId="0" borderId="9" xfId="57" applyNumberFormat="1" applyFont="1" applyFill="1" applyBorder="1" applyAlignment="1">
      <alignment horizontal="center" vertical="center"/>
    </xf>
    <xf numFmtId="4" fontId="117" fillId="0" borderId="9" xfId="57" applyNumberFormat="1" applyFont="1" applyFill="1" applyBorder="1" applyAlignment="1">
      <alignment horizontal="center" vertical="center"/>
    </xf>
    <xf numFmtId="175" fontId="61" fillId="0" borderId="9" xfId="57" applyNumberFormat="1" applyFont="1" applyFill="1" applyBorder="1" applyAlignment="1">
      <alignment horizontal="center" vertical="center"/>
    </xf>
    <xf numFmtId="0" fontId="60" fillId="0" borderId="9" xfId="108" applyFont="1" applyFill="1" applyBorder="1" applyAlignment="1">
      <alignment vertical="center"/>
      <protection/>
    </xf>
    <xf numFmtId="0" fontId="60" fillId="0" borderId="9" xfId="108" applyFont="1" applyFill="1" applyBorder="1" applyAlignment="1">
      <alignment horizontal="left" vertical="center" wrapText="1"/>
      <protection/>
    </xf>
    <xf numFmtId="0" fontId="21" fillId="0" borderId="9" xfId="108" applyFont="1" applyFill="1" applyBorder="1" applyAlignment="1">
      <alignment horizontal="center" vertical="center" wrapText="1"/>
      <protection/>
    </xf>
    <xf numFmtId="174" fontId="60" fillId="0" borderId="9" xfId="57" applyNumberFormat="1" applyFont="1" applyFill="1" applyBorder="1" applyAlignment="1">
      <alignment vertical="center" wrapText="1"/>
    </xf>
    <xf numFmtId="175" fontId="60" fillId="0" borderId="9" xfId="57" applyNumberFormat="1" applyFont="1" applyFill="1" applyBorder="1" applyAlignment="1">
      <alignment horizontal="center" vertical="center"/>
    </xf>
    <xf numFmtId="10" fontId="60" fillId="0" borderId="9" xfId="127" applyNumberFormat="1" applyFont="1" applyFill="1" applyBorder="1" applyAlignment="1">
      <alignment horizontal="center" vertical="center"/>
    </xf>
    <xf numFmtId="0" fontId="60" fillId="0" borderId="9" xfId="108" applyFont="1" applyFill="1" applyBorder="1" applyAlignment="1">
      <alignment horizontal="center" vertical="center"/>
      <protection/>
    </xf>
    <xf numFmtId="0" fontId="60" fillId="0" borderId="9" xfId="108" applyFont="1" applyFill="1" applyBorder="1" applyAlignment="1">
      <alignment horizontal="center" vertical="center" wrapText="1"/>
      <protection/>
    </xf>
    <xf numFmtId="10" fontId="60" fillId="0" borderId="9" xfId="127" applyNumberFormat="1" applyFont="1" applyFill="1" applyBorder="1" applyAlignment="1">
      <alignment horizontal="center" vertical="center" wrapText="1"/>
    </xf>
    <xf numFmtId="175" fontId="60" fillId="0" borderId="9" xfId="57" applyNumberFormat="1" applyFont="1" applyFill="1" applyBorder="1" applyAlignment="1">
      <alignment horizontal="center" vertical="center" wrapText="1"/>
    </xf>
    <xf numFmtId="0" fontId="21" fillId="0" borderId="9" xfId="108" applyFont="1" applyFill="1" applyBorder="1" applyAlignment="1">
      <alignment horizontal="left" vertical="center" wrapText="1"/>
      <protection/>
    </xf>
    <xf numFmtId="174" fontId="21" fillId="0" borderId="9" xfId="57" applyNumberFormat="1" applyFont="1" applyFill="1" applyBorder="1" applyAlignment="1">
      <alignment vertical="center" wrapText="1"/>
    </xf>
    <xf numFmtId="175" fontId="21" fillId="0" borderId="9" xfId="57" applyNumberFormat="1" applyFont="1" applyFill="1" applyBorder="1" applyAlignment="1">
      <alignment horizontal="center" vertical="center" wrapText="1"/>
    </xf>
    <xf numFmtId="3" fontId="21" fillId="0" borderId="9" xfId="57" applyNumberFormat="1" applyFont="1" applyFill="1" applyBorder="1" applyAlignment="1">
      <alignment horizontal="center" vertical="center" wrapText="1"/>
    </xf>
    <xf numFmtId="3" fontId="60" fillId="0" borderId="9" xfId="57" applyNumberFormat="1" applyFont="1" applyFill="1" applyBorder="1" applyAlignment="1">
      <alignment horizontal="center" vertical="center" wrapText="1"/>
    </xf>
    <xf numFmtId="174" fontId="60" fillId="0" borderId="9" xfId="57" applyNumberFormat="1" applyFont="1" applyFill="1" applyBorder="1" applyAlignment="1">
      <alignment horizontal="center" vertical="center" wrapText="1"/>
    </xf>
    <xf numFmtId="174" fontId="61" fillId="0" borderId="9" xfId="57" applyNumberFormat="1" applyFont="1" applyFill="1" applyBorder="1" applyAlignment="1">
      <alignment horizontal="center" vertical="center" wrapText="1"/>
    </xf>
    <xf numFmtId="175" fontId="103" fillId="0" borderId="9" xfId="57" applyNumberFormat="1" applyFont="1" applyFill="1" applyBorder="1" applyAlignment="1">
      <alignment horizontal="center" vertical="center" wrapText="1"/>
    </xf>
    <xf numFmtId="3" fontId="103" fillId="0" borderId="9" xfId="57" applyNumberFormat="1" applyFont="1" applyFill="1" applyBorder="1" applyAlignment="1">
      <alignment horizontal="center" vertical="center" wrapText="1"/>
    </xf>
    <xf numFmtId="175" fontId="117" fillId="0" borderId="9" xfId="57" applyNumberFormat="1" applyFont="1" applyFill="1" applyBorder="1" applyAlignment="1">
      <alignment horizontal="center" vertical="center" wrapText="1"/>
    </xf>
    <xf numFmtId="175" fontId="61" fillId="0" borderId="9" xfId="57" applyNumberFormat="1" applyFont="1" applyFill="1" applyBorder="1" applyAlignment="1">
      <alignment horizontal="center" vertical="center" wrapText="1"/>
    </xf>
    <xf numFmtId="0" fontId="60" fillId="0" borderId="9" xfId="108" applyFont="1" applyFill="1" applyBorder="1" applyAlignment="1" quotePrefix="1">
      <alignment horizontal="left" vertical="center" wrapText="1"/>
      <protection/>
    </xf>
    <xf numFmtId="0" fontId="21" fillId="0" borderId="9" xfId="108" applyFont="1" applyFill="1" applyBorder="1" applyAlignment="1" quotePrefix="1">
      <alignment horizontal="left" vertical="center" wrapText="1"/>
      <protection/>
    </xf>
    <xf numFmtId="174" fontId="21" fillId="0" borderId="9" xfId="57" applyNumberFormat="1" applyFont="1" applyFill="1" applyBorder="1" applyAlignment="1">
      <alignment horizontal="center" vertical="center" wrapText="1"/>
    </xf>
    <xf numFmtId="201" fontId="90" fillId="0" borderId="9" xfId="108" applyNumberFormat="1" applyFont="1" applyFill="1" applyBorder="1" applyAlignment="1">
      <alignment horizontal="center" vertical="center" wrapText="1"/>
      <protection/>
    </xf>
    <xf numFmtId="201" fontId="116" fillId="0" borderId="9" xfId="108" applyNumberFormat="1" applyFont="1" applyFill="1" applyBorder="1" applyAlignment="1">
      <alignment horizontal="center" vertical="center" wrapText="1"/>
      <protection/>
    </xf>
    <xf numFmtId="220" fontId="90" fillId="0" borderId="9" xfId="108" applyNumberFormat="1" applyFont="1" applyFill="1" applyBorder="1" applyAlignment="1">
      <alignment horizontal="center" vertical="center" wrapText="1"/>
      <protection/>
    </xf>
    <xf numFmtId="223" fontId="90" fillId="0" borderId="9" xfId="108" applyNumberFormat="1" applyFont="1" applyFill="1" applyBorder="1" applyAlignment="1">
      <alignment horizontal="center" vertical="center" wrapText="1"/>
      <protection/>
    </xf>
    <xf numFmtId="175" fontId="116" fillId="0" borderId="9" xfId="57" applyNumberFormat="1" applyFont="1" applyFill="1" applyBorder="1" applyAlignment="1">
      <alignment horizontal="center" vertical="center" wrapText="1"/>
    </xf>
    <xf numFmtId="222" fontId="21" fillId="0" borderId="9" xfId="108" applyNumberFormat="1" applyFont="1" applyFill="1" applyBorder="1" applyAlignment="1">
      <alignment horizontal="right" vertical="center" wrapText="1"/>
      <protection/>
    </xf>
    <xf numFmtId="175" fontId="124" fillId="0" borderId="9" xfId="57" applyNumberFormat="1" applyFont="1" applyFill="1" applyBorder="1" applyAlignment="1">
      <alignment horizontal="center" vertical="center" wrapText="1"/>
    </xf>
    <xf numFmtId="4" fontId="90" fillId="0" borderId="9" xfId="108" applyNumberFormat="1" applyFont="1" applyFill="1" applyBorder="1" applyAlignment="1">
      <alignment horizontal="center" vertical="center" wrapText="1"/>
      <protection/>
    </xf>
    <xf numFmtId="0" fontId="21" fillId="0" borderId="9" xfId="57" applyNumberFormat="1" applyFont="1" applyFill="1" applyBorder="1" applyAlignment="1">
      <alignment horizontal="center" vertical="center" wrapText="1"/>
    </xf>
    <xf numFmtId="0" fontId="90" fillId="0" borderId="9" xfId="108" applyFont="1" applyFill="1" applyBorder="1" applyAlignment="1">
      <alignment horizontal="center" vertical="center" wrapText="1"/>
      <protection/>
    </xf>
    <xf numFmtId="4" fontId="21" fillId="0" borderId="9" xfId="108" applyNumberFormat="1" applyFont="1" applyFill="1" applyBorder="1" applyAlignment="1">
      <alignment horizontal="center" vertical="center" wrapText="1"/>
      <protection/>
    </xf>
    <xf numFmtId="202" fontId="161" fillId="0" borderId="9" xfId="103" applyNumberFormat="1" applyFont="1" applyFill="1" applyBorder="1" applyAlignment="1" quotePrefix="1">
      <alignment horizontal="right" vertical="center"/>
      <protection/>
    </xf>
    <xf numFmtId="2" fontId="161" fillId="0" borderId="9" xfId="103" applyNumberFormat="1" applyFont="1" applyFill="1" applyBorder="1" applyAlignment="1">
      <alignment horizontal="right" vertical="center"/>
      <protection/>
    </xf>
    <xf numFmtId="0" fontId="71" fillId="0" borderId="0" xfId="0" applyFont="1" applyAlignment="1">
      <alignment/>
    </xf>
    <xf numFmtId="225" fontId="60" fillId="0" borderId="0" xfId="0" applyNumberFormat="1" applyFont="1" applyFill="1" applyAlignment="1">
      <alignment vertical="center"/>
    </xf>
    <xf numFmtId="203" fontId="60" fillId="0" borderId="0" xfId="0" applyNumberFormat="1" applyFont="1" applyFill="1" applyAlignment="1">
      <alignment vertical="center"/>
    </xf>
    <xf numFmtId="3" fontId="71" fillId="0" borderId="0" xfId="0" applyNumberFormat="1" applyFont="1" applyAlignment="1">
      <alignment/>
    </xf>
    <xf numFmtId="43" fontId="21" fillId="0" borderId="0" xfId="103" applyNumberFormat="1" applyFont="1" applyFill="1" applyAlignment="1">
      <alignment vertical="center"/>
      <protection/>
    </xf>
    <xf numFmtId="224" fontId="21" fillId="0" borderId="39" xfId="121" applyNumberFormat="1" applyFont="1" applyFill="1" applyBorder="1" applyAlignment="1">
      <alignment horizontal="right" vertical="center" wrapText="1"/>
    </xf>
    <xf numFmtId="176" fontId="60" fillId="0" borderId="9" xfId="57" applyNumberFormat="1" applyFont="1" applyFill="1" applyBorder="1" applyAlignment="1">
      <alignment horizontal="center" vertical="center"/>
    </xf>
    <xf numFmtId="2" fontId="159" fillId="0" borderId="9" xfId="103" applyNumberFormat="1" applyFont="1" applyFill="1" applyBorder="1" applyAlignment="1">
      <alignment horizontal="right" vertical="center"/>
      <protection/>
    </xf>
    <xf numFmtId="3" fontId="162" fillId="0" borderId="9" xfId="103" applyNumberFormat="1" applyFont="1" applyFill="1" applyBorder="1" applyAlignment="1">
      <alignment vertical="center" wrapText="1"/>
      <protection/>
    </xf>
    <xf numFmtId="178" fontId="159" fillId="0" borderId="9" xfId="53" applyNumberFormat="1" applyFont="1" applyFill="1" applyBorder="1" applyAlignment="1">
      <alignment horizontal="right" vertical="center"/>
    </xf>
    <xf numFmtId="178" fontId="161" fillId="0" borderId="9" xfId="53" applyNumberFormat="1" applyFont="1" applyFill="1" applyBorder="1" applyAlignment="1">
      <alignment horizontal="right" vertical="center"/>
    </xf>
    <xf numFmtId="0" fontId="21" fillId="0" borderId="0" xfId="108" applyFont="1" applyFill="1" applyBorder="1" applyAlignment="1">
      <alignment vertical="center"/>
      <protection/>
    </xf>
    <xf numFmtId="0" fontId="66" fillId="0" borderId="0" xfId="108" applyFont="1" applyFill="1" applyAlignment="1">
      <alignment horizontal="left" vertical="center" wrapText="1"/>
      <protection/>
    </xf>
    <xf numFmtId="0" fontId="35" fillId="0" borderId="0" xfId="108" applyFont="1" applyFill="1" applyAlignment="1">
      <alignment vertical="center"/>
      <protection/>
    </xf>
    <xf numFmtId="0" fontId="16" fillId="0" borderId="9" xfId="108" applyFont="1" applyFill="1" applyBorder="1" applyAlignment="1">
      <alignment horizontal="center" vertical="center" wrapText="1"/>
      <protection/>
    </xf>
    <xf numFmtId="0" fontId="61" fillId="0" borderId="0" xfId="108" applyFont="1" applyFill="1" applyAlignment="1">
      <alignment vertical="center" wrapText="1"/>
      <protection/>
    </xf>
    <xf numFmtId="0" fontId="61" fillId="0" borderId="0" xfId="108" applyFont="1" applyFill="1" applyAlignment="1">
      <alignment vertical="center"/>
      <protection/>
    </xf>
    <xf numFmtId="0" fontId="67" fillId="0" borderId="0" xfId="108" applyFont="1" applyFill="1" applyAlignment="1">
      <alignment vertical="center"/>
      <protection/>
    </xf>
    <xf numFmtId="175" fontId="21" fillId="0" borderId="0" xfId="108" applyNumberFormat="1" applyFont="1" applyFill="1" applyAlignment="1">
      <alignment vertical="center"/>
      <protection/>
    </xf>
    <xf numFmtId="4" fontId="21" fillId="0" borderId="0" xfId="108" applyNumberFormat="1" applyFont="1" applyFill="1" applyAlignment="1">
      <alignment vertical="center"/>
      <protection/>
    </xf>
    <xf numFmtId="175" fontId="60" fillId="0" borderId="0" xfId="108" applyNumberFormat="1" applyFont="1" applyFill="1" applyAlignment="1">
      <alignment vertical="center"/>
      <protection/>
    </xf>
    <xf numFmtId="0" fontId="60" fillId="0" borderId="0" xfId="108" applyFont="1" applyFill="1" applyAlignment="1">
      <alignment vertical="center"/>
      <protection/>
    </xf>
    <xf numFmtId="221" fontId="60" fillId="0" borderId="0" xfId="108" applyNumberFormat="1" applyFont="1" applyFill="1" applyAlignment="1">
      <alignment vertical="center"/>
      <protection/>
    </xf>
    <xf numFmtId="176" fontId="21" fillId="0" borderId="0" xfId="108" applyNumberFormat="1" applyFont="1" applyFill="1" applyAlignment="1">
      <alignment vertical="center"/>
      <protection/>
    </xf>
    <xf numFmtId="175" fontId="61" fillId="0" borderId="0" xfId="108" applyNumberFormat="1" applyFont="1" applyFill="1" applyAlignment="1">
      <alignment vertical="center"/>
      <protection/>
    </xf>
    <xf numFmtId="174" fontId="105" fillId="0" borderId="15" xfId="57" applyNumberFormat="1" applyFont="1" applyFill="1" applyBorder="1" applyAlignment="1">
      <alignment horizontal="center" vertical="center" wrapText="1"/>
    </xf>
    <xf numFmtId="3" fontId="60" fillId="0" borderId="0" xfId="108" applyNumberFormat="1" applyFont="1" applyFill="1" applyAlignment="1">
      <alignment vertical="center"/>
      <protection/>
    </xf>
    <xf numFmtId="0" fontId="20" fillId="0" borderId="0" xfId="108" applyFont="1" applyFill="1" applyAlignment="1">
      <alignment horizontal="center" vertical="center"/>
      <protection/>
    </xf>
    <xf numFmtId="0" fontId="20" fillId="0" borderId="0" xfId="108" applyFont="1" applyFill="1" applyAlignment="1">
      <alignment horizontal="left" vertical="center" wrapText="1"/>
      <protection/>
    </xf>
    <xf numFmtId="0" fontId="20" fillId="0" borderId="0" xfId="108" applyFont="1" applyFill="1" applyAlignment="1">
      <alignment horizontal="center" vertical="center" wrapText="1"/>
      <protection/>
    </xf>
    <xf numFmtId="0" fontId="20" fillId="36" borderId="0" xfId="108" applyFont="1" applyFill="1" applyAlignment="1">
      <alignment horizontal="left" vertical="center" wrapText="1"/>
      <protection/>
    </xf>
    <xf numFmtId="0" fontId="20" fillId="0" borderId="18" xfId="108" applyFont="1" applyFill="1" applyBorder="1" applyAlignment="1">
      <alignment horizontal="center" vertical="center"/>
      <protection/>
    </xf>
    <xf numFmtId="0" fontId="20" fillId="0" borderId="18" xfId="108" applyFont="1" applyFill="1" applyBorder="1" applyAlignment="1">
      <alignment horizontal="left" vertical="center" wrapText="1"/>
      <protection/>
    </xf>
    <xf numFmtId="0" fontId="20" fillId="0" borderId="18" xfId="108" applyFont="1" applyFill="1" applyBorder="1" applyAlignment="1">
      <alignment horizontal="center" vertical="center" wrapText="1"/>
      <protection/>
    </xf>
    <xf numFmtId="175" fontId="20" fillId="0" borderId="18" xfId="108" applyNumberFormat="1" applyFont="1" applyFill="1" applyBorder="1" applyAlignment="1">
      <alignment horizontal="center" vertical="center"/>
      <protection/>
    </xf>
    <xf numFmtId="0" fontId="73" fillId="0" borderId="0" xfId="108" applyFont="1" applyFill="1" applyAlignment="1">
      <alignment horizontal="center" vertical="center"/>
      <protection/>
    </xf>
    <xf numFmtId="0" fontId="73" fillId="0" borderId="0" xfId="108" applyFont="1" applyFill="1" applyAlignment="1">
      <alignment horizontal="left" vertical="center" wrapText="1"/>
      <protection/>
    </xf>
    <xf numFmtId="0" fontId="73" fillId="0" borderId="0" xfId="108" applyFont="1" applyFill="1" applyAlignment="1">
      <alignment horizontal="center" vertical="center" wrapText="1"/>
      <protection/>
    </xf>
    <xf numFmtId="0" fontId="73" fillId="0" borderId="0" xfId="108" applyFont="1" applyFill="1" applyAlignment="1">
      <alignment vertical="center"/>
      <protection/>
    </xf>
    <xf numFmtId="177" fontId="73" fillId="0" borderId="0" xfId="108" applyNumberFormat="1" applyFont="1" applyFill="1" applyAlignment="1">
      <alignment vertical="center"/>
      <protection/>
    </xf>
    <xf numFmtId="0" fontId="71" fillId="0" borderId="0" xfId="108" applyFont="1" applyFill="1" applyAlignment="1">
      <alignment vertical="center"/>
      <protection/>
    </xf>
    <xf numFmtId="43" fontId="21" fillId="0" borderId="0" xfId="108" applyNumberFormat="1" applyFont="1" applyFill="1" applyAlignment="1">
      <alignment vertical="center"/>
      <protection/>
    </xf>
    <xf numFmtId="3" fontId="21" fillId="0" borderId="0" xfId="108" applyNumberFormat="1" applyFont="1" applyFill="1" applyAlignment="1">
      <alignment vertical="center"/>
      <protection/>
    </xf>
    <xf numFmtId="0" fontId="21" fillId="0" borderId="0" xfId="108" applyFont="1" applyFill="1" applyAlignment="1">
      <alignment horizontal="center" vertical="center"/>
      <protection/>
    </xf>
    <xf numFmtId="0" fontId="21" fillId="0" borderId="0" xfId="108" applyFont="1" applyFill="1" applyAlignment="1">
      <alignment horizontal="left" vertical="center" wrapText="1"/>
      <protection/>
    </xf>
    <xf numFmtId="0" fontId="21" fillId="0" borderId="0" xfId="108" applyFont="1" applyFill="1" applyAlignment="1">
      <alignment horizontal="center" vertical="center" wrapText="1"/>
      <protection/>
    </xf>
    <xf numFmtId="176" fontId="60" fillId="0" borderId="0" xfId="108" applyNumberFormat="1" applyFont="1" applyFill="1" applyAlignment="1">
      <alignment vertical="center"/>
      <protection/>
    </xf>
    <xf numFmtId="221" fontId="21" fillId="0" borderId="0" xfId="108" applyNumberFormat="1" applyFont="1" applyFill="1" applyAlignment="1">
      <alignment vertical="center"/>
      <protection/>
    </xf>
    <xf numFmtId="10" fontId="21" fillId="0" borderId="0" xfId="121" applyNumberFormat="1" applyFont="1" applyFill="1" applyAlignment="1">
      <alignment vertical="center"/>
    </xf>
    <xf numFmtId="3" fontId="162" fillId="0" borderId="0" xfId="0" applyNumberFormat="1" applyFont="1" applyAlignment="1">
      <alignment/>
    </xf>
    <xf numFmtId="10" fontId="60" fillId="0" borderId="0" xfId="121" applyNumberFormat="1" applyFont="1" applyFill="1" applyAlignment="1">
      <alignment vertical="center"/>
    </xf>
    <xf numFmtId="0" fontId="30" fillId="0" borderId="40" xfId="0" applyFont="1" applyBorder="1" applyAlignment="1">
      <alignment horizontal="left" vertical="center" wrapText="1"/>
    </xf>
    <xf numFmtId="0" fontId="15" fillId="0" borderId="0" xfId="0" applyFont="1" applyAlignment="1">
      <alignment horizontal="right" vertical="center"/>
    </xf>
    <xf numFmtId="0" fontId="16" fillId="0" borderId="0" xfId="0" applyFont="1" applyAlignment="1">
      <alignment horizontal="center" vertical="center"/>
    </xf>
    <xf numFmtId="0" fontId="21" fillId="0" borderId="26"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26"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21" fillId="0" borderId="14" xfId="0" applyFont="1" applyBorder="1" applyAlignment="1">
      <alignment horizontal="center" vertical="center" wrapText="1"/>
    </xf>
    <xf numFmtId="0" fontId="21" fillId="0" borderId="42" xfId="0" applyFont="1" applyBorder="1" applyAlignment="1">
      <alignment horizontal="center" vertical="center" wrapText="1"/>
    </xf>
    <xf numFmtId="0" fontId="60" fillId="34" borderId="27" xfId="106" applyNumberFormat="1" applyFont="1" applyFill="1" applyBorder="1" applyAlignment="1">
      <alignment horizontal="left" vertical="center" wrapText="1"/>
      <protection/>
    </xf>
    <xf numFmtId="0" fontId="60" fillId="34" borderId="23" xfId="106" applyNumberFormat="1" applyFont="1" applyFill="1" applyBorder="1" applyAlignment="1">
      <alignment horizontal="left" vertical="center" wrapText="1"/>
      <protection/>
    </xf>
    <xf numFmtId="0" fontId="61" fillId="34" borderId="14" xfId="106" applyFont="1" applyFill="1" applyBorder="1" applyAlignment="1">
      <alignment horizontal="center" vertical="center" wrapText="1"/>
      <protection/>
    </xf>
    <xf numFmtId="0" fontId="61" fillId="34" borderId="42" xfId="106" applyFont="1" applyFill="1" applyBorder="1" applyAlignment="1">
      <alignment horizontal="center" vertical="center" wrapText="1"/>
      <protection/>
    </xf>
    <xf numFmtId="0" fontId="61" fillId="34" borderId="27" xfId="106" applyNumberFormat="1" applyFont="1" applyFill="1" applyBorder="1" applyAlignment="1">
      <alignment horizontal="center" vertical="center" wrapText="1"/>
      <protection/>
    </xf>
    <xf numFmtId="0" fontId="61" fillId="34" borderId="23" xfId="106" applyNumberFormat="1" applyFont="1" applyFill="1" applyBorder="1" applyAlignment="1">
      <alignment horizontal="center" vertical="center" wrapText="1"/>
      <protection/>
    </xf>
    <xf numFmtId="0" fontId="9" fillId="34" borderId="27" xfId="106" applyNumberFormat="1" applyFont="1" applyFill="1" applyBorder="1" applyAlignment="1">
      <alignment horizontal="left" vertical="center" wrapText="1"/>
      <protection/>
    </xf>
    <xf numFmtId="0" fontId="9" fillId="34" borderId="23" xfId="106" applyNumberFormat="1" applyFont="1" applyFill="1" applyBorder="1" applyAlignment="1">
      <alignment horizontal="left" vertical="center" wrapText="1"/>
      <protection/>
    </xf>
    <xf numFmtId="0" fontId="60" fillId="34" borderId="27" xfId="106" applyNumberFormat="1" applyFont="1" applyFill="1" applyBorder="1" applyAlignment="1">
      <alignment horizontal="right" vertical="center" wrapText="1"/>
      <protection/>
    </xf>
    <xf numFmtId="0" fontId="62" fillId="34" borderId="27" xfId="106" applyNumberFormat="1" applyFont="1" applyFill="1" applyBorder="1" applyAlignment="1">
      <alignment horizontal="left" vertical="center" wrapText="1"/>
      <protection/>
    </xf>
    <xf numFmtId="0" fontId="62" fillId="34" borderId="23" xfId="106" applyNumberFormat="1" applyFont="1" applyFill="1" applyBorder="1" applyAlignment="1">
      <alignment horizontal="left" vertical="center" wrapText="1"/>
      <protection/>
    </xf>
    <xf numFmtId="0" fontId="21" fillId="34" borderId="27" xfId="106" applyFont="1" applyFill="1" applyBorder="1" applyAlignment="1">
      <alignment horizontal="right" vertical="center" wrapText="1"/>
      <protection/>
    </xf>
    <xf numFmtId="0" fontId="21" fillId="34" borderId="23" xfId="106" applyFont="1" applyFill="1" applyBorder="1" applyAlignment="1">
      <alignment horizontal="center" vertical="center" wrapText="1"/>
      <protection/>
    </xf>
    <xf numFmtId="0" fontId="21" fillId="34" borderId="27" xfId="106" applyNumberFormat="1" applyFont="1" applyFill="1" applyBorder="1" applyAlignment="1">
      <alignment horizontal="right" vertical="center" wrapText="1"/>
      <protection/>
    </xf>
    <xf numFmtId="0" fontId="21" fillId="34" borderId="23" xfId="106" applyNumberFormat="1" applyFont="1" applyFill="1" applyBorder="1" applyAlignment="1">
      <alignment horizontal="left" vertical="center" wrapText="1"/>
      <protection/>
    </xf>
    <xf numFmtId="0" fontId="35" fillId="34" borderId="0" xfId="106" applyFont="1" applyFill="1" applyAlignment="1">
      <alignment horizontal="right" vertical="center" wrapText="1"/>
      <protection/>
    </xf>
    <xf numFmtId="0" fontId="66" fillId="34" borderId="0" xfId="106" applyFont="1" applyFill="1" applyAlignment="1">
      <alignment horizontal="center" vertical="center" wrapText="1"/>
      <protection/>
    </xf>
    <xf numFmtId="0" fontId="67" fillId="34" borderId="0" xfId="106" applyFont="1" applyFill="1" applyAlignment="1">
      <alignment horizontal="center" vertical="center" wrapText="1"/>
      <protection/>
    </xf>
    <xf numFmtId="0" fontId="60" fillId="34" borderId="0" xfId="106" applyNumberFormat="1" applyFont="1" applyFill="1" applyBorder="1" applyAlignment="1">
      <alignment horizontal="right" vertical="center" wrapText="1"/>
      <protection/>
    </xf>
    <xf numFmtId="0" fontId="61" fillId="34" borderId="0" xfId="116" applyFont="1" applyFill="1" applyAlignment="1">
      <alignment horizontal="center" vertical="center" wrapText="1"/>
      <protection/>
    </xf>
    <xf numFmtId="0" fontId="61" fillId="34" borderId="0" xfId="116" applyFont="1" applyFill="1" applyAlignment="1">
      <alignment horizontal="center" vertical="center"/>
      <protection/>
    </xf>
    <xf numFmtId="43" fontId="60" fillId="34" borderId="0" xfId="62" applyFont="1" applyFill="1" applyBorder="1" applyAlignment="1">
      <alignment horizontal="right" vertical="center"/>
    </xf>
    <xf numFmtId="43" fontId="60" fillId="34" borderId="1" xfId="62" applyFont="1" applyFill="1" applyBorder="1" applyAlignment="1">
      <alignment horizontal="right" vertical="center"/>
    </xf>
    <xf numFmtId="0" fontId="21" fillId="0" borderId="0" xfId="103" applyFont="1" applyFill="1" applyAlignment="1">
      <alignment horizontal="center" vertical="center"/>
      <protection/>
    </xf>
    <xf numFmtId="0" fontId="21" fillId="0" borderId="37" xfId="103" applyFont="1" applyFill="1" applyBorder="1" applyAlignment="1">
      <alignment horizontal="left" vertical="center" wrapText="1"/>
      <protection/>
    </xf>
    <xf numFmtId="0" fontId="61" fillId="0" borderId="37" xfId="103" applyFont="1" applyFill="1" applyBorder="1" applyAlignment="1">
      <alignment horizontal="center" vertical="center"/>
      <protection/>
    </xf>
    <xf numFmtId="0" fontId="66" fillId="0" borderId="0" xfId="103" applyFont="1" applyFill="1" applyAlignment="1">
      <alignment horizontal="right" vertical="center"/>
      <protection/>
    </xf>
    <xf numFmtId="0" fontId="81" fillId="0" borderId="1" xfId="103" applyFont="1" applyFill="1" applyBorder="1" applyAlignment="1">
      <alignment horizontal="center" vertical="center" wrapText="1"/>
      <protection/>
    </xf>
    <xf numFmtId="0" fontId="21" fillId="0" borderId="0" xfId="103" applyFont="1" applyFill="1" applyBorder="1" applyAlignment="1">
      <alignment horizontal="center" vertical="center" wrapText="1"/>
      <protection/>
    </xf>
    <xf numFmtId="0" fontId="20" fillId="0" borderId="0" xfId="0" applyFont="1" applyFill="1" applyBorder="1" applyAlignment="1">
      <alignment horizontal="left" vertical="center" wrapText="1"/>
    </xf>
    <xf numFmtId="0" fontId="66" fillId="0" borderId="37" xfId="0" applyFont="1" applyFill="1" applyBorder="1" applyAlignment="1">
      <alignment horizontal="center" vertical="center"/>
    </xf>
    <xf numFmtId="0" fontId="35" fillId="0" borderId="0" xfId="0" applyFont="1" applyFill="1" applyAlignment="1">
      <alignment horizontal="right"/>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20" fillId="0" borderId="0" xfId="103" applyFont="1" applyFill="1" applyBorder="1" applyAlignment="1">
      <alignment horizontal="left" vertical="center" wrapText="1"/>
      <protection/>
    </xf>
    <xf numFmtId="0" fontId="16" fillId="0" borderId="0" xfId="103" applyFont="1" applyFill="1" applyBorder="1" applyAlignment="1">
      <alignment horizontal="center" vertical="center"/>
      <protection/>
    </xf>
    <xf numFmtId="0" fontId="37" fillId="0" borderId="0" xfId="103" applyFont="1" applyFill="1" applyAlignment="1">
      <alignment horizontal="right" vertical="center"/>
      <protection/>
    </xf>
    <xf numFmtId="0" fontId="16" fillId="0" borderId="0" xfId="103" applyFont="1" applyFill="1" applyAlignment="1">
      <alignment horizontal="center" vertical="center"/>
      <protection/>
    </xf>
    <xf numFmtId="0" fontId="66" fillId="37" borderId="37" xfId="103" applyFont="1" applyFill="1" applyBorder="1" applyAlignment="1">
      <alignment horizontal="center" vertical="center"/>
      <protection/>
    </xf>
    <xf numFmtId="0" fontId="35" fillId="0" borderId="0" xfId="103" applyFont="1" applyFill="1" applyAlignment="1">
      <alignment horizontal="right"/>
      <protection/>
    </xf>
    <xf numFmtId="0" fontId="66" fillId="0" borderId="0" xfId="103" applyFont="1" applyFill="1" applyAlignment="1">
      <alignment horizontal="center" vertical="center"/>
      <protection/>
    </xf>
    <xf numFmtId="0" fontId="71" fillId="0" borderId="0" xfId="103" applyFont="1" applyFill="1" applyAlignment="1">
      <alignment horizontal="left" vertical="center" wrapText="1"/>
      <protection/>
    </xf>
    <xf numFmtId="49" fontId="66" fillId="0" borderId="9" xfId="103" applyNumberFormat="1" applyFont="1" applyFill="1" applyBorder="1" applyAlignment="1">
      <alignment horizontal="center" vertical="center" wrapText="1"/>
      <protection/>
    </xf>
    <xf numFmtId="0" fontId="66" fillId="0" borderId="9" xfId="103" applyFont="1" applyFill="1" applyBorder="1" applyAlignment="1">
      <alignment horizontal="center" vertical="center" wrapText="1"/>
      <protection/>
    </xf>
    <xf numFmtId="0" fontId="20" fillId="0" borderId="0" xfId="103" applyFont="1" applyFill="1" applyBorder="1" applyAlignment="1">
      <alignment horizontal="left" vertical="center" wrapText="1"/>
      <protection/>
    </xf>
    <xf numFmtId="0" fontId="75" fillId="0" borderId="37" xfId="103" applyFont="1" applyFill="1" applyBorder="1" applyAlignment="1">
      <alignment horizontal="center" vertical="center"/>
      <protection/>
    </xf>
    <xf numFmtId="0" fontId="35" fillId="0" borderId="0" xfId="103" applyFont="1" applyFill="1" applyAlignment="1">
      <alignment horizontal="right" vertical="center"/>
      <protection/>
    </xf>
    <xf numFmtId="0" fontId="16" fillId="0" borderId="37" xfId="103" applyFont="1" applyFill="1" applyBorder="1" applyAlignment="1">
      <alignment horizontal="center" vertical="center"/>
      <protection/>
    </xf>
    <xf numFmtId="0" fontId="16" fillId="0" borderId="0" xfId="0" applyFont="1" applyFill="1" applyAlignment="1">
      <alignment horizontal="center" vertical="center"/>
    </xf>
    <xf numFmtId="0" fontId="75" fillId="0" borderId="37" xfId="0" applyFont="1" applyFill="1" applyBorder="1" applyAlignment="1">
      <alignment horizontal="center" vertical="center"/>
    </xf>
    <xf numFmtId="0" fontId="75" fillId="0" borderId="0" xfId="0" applyFont="1" applyFill="1" applyBorder="1" applyAlignment="1">
      <alignment horizontal="center" vertical="center"/>
    </xf>
    <xf numFmtId="0" fontId="35" fillId="0" borderId="0" xfId="0" applyFont="1" applyFill="1" applyAlignment="1">
      <alignment horizontal="right" vertical="center"/>
    </xf>
    <xf numFmtId="0" fontId="16" fillId="0" borderId="0" xfId="0" applyFont="1" applyFill="1" applyAlignment="1">
      <alignment horizontal="center" vertical="center" wrapText="1"/>
    </xf>
    <xf numFmtId="0" fontId="21" fillId="0" borderId="0" xfId="0" applyFont="1" applyFill="1" applyAlignment="1">
      <alignment horizontal="left" vertical="center" wrapText="1"/>
    </xf>
    <xf numFmtId="0" fontId="21" fillId="0" borderId="0" xfId="0" applyFont="1" applyFill="1" applyAlignment="1">
      <alignment horizontal="center" vertical="center" wrapText="1"/>
    </xf>
    <xf numFmtId="0" fontId="61" fillId="0" borderId="37" xfId="0" applyFont="1" applyFill="1" applyBorder="1" applyAlignment="1">
      <alignment horizontal="right" vertical="center"/>
    </xf>
    <xf numFmtId="0" fontId="63" fillId="0" borderId="0" xfId="0" applyFont="1" applyFill="1" applyAlignment="1">
      <alignment horizontal="right" vertical="center"/>
    </xf>
    <xf numFmtId="0" fontId="61" fillId="0" borderId="0" xfId="0" applyFont="1" applyFill="1" applyAlignment="1">
      <alignment horizontal="center" vertical="center" wrapText="1"/>
    </xf>
    <xf numFmtId="0" fontId="61" fillId="0" borderId="0" xfId="0" applyFont="1" applyFill="1" applyAlignment="1">
      <alignment horizontal="center" vertical="center"/>
    </xf>
    <xf numFmtId="0" fontId="60" fillId="0" borderId="1" xfId="0" applyFont="1" applyFill="1" applyBorder="1" applyAlignment="1">
      <alignment horizontal="right" vertical="center"/>
    </xf>
    <xf numFmtId="208" fontId="42" fillId="0" borderId="0" xfId="116" applyNumberFormat="1" applyFont="1" applyFill="1" applyAlignment="1">
      <alignment vertical="center" wrapText="1"/>
      <protection/>
    </xf>
    <xf numFmtId="208" fontId="42" fillId="0" borderId="0" xfId="116" applyNumberFormat="1" applyFont="1" applyFill="1" applyAlignment="1">
      <alignment vertical="center"/>
      <protection/>
    </xf>
    <xf numFmtId="0" fontId="61" fillId="0" borderId="0" xfId="0" applyFont="1" applyFill="1" applyBorder="1" applyAlignment="1">
      <alignment horizontal="center" vertical="center" wrapText="1"/>
    </xf>
    <xf numFmtId="0" fontId="66" fillId="0" borderId="37" xfId="0" applyFont="1" applyFill="1" applyBorder="1" applyAlignment="1">
      <alignment horizontal="center" vertical="center"/>
    </xf>
    <xf numFmtId="0" fontId="35" fillId="0" borderId="0" xfId="0" applyFont="1" applyFill="1" applyAlignment="1">
      <alignment horizontal="right"/>
    </xf>
    <xf numFmtId="0" fontId="16" fillId="0" borderId="0" xfId="116" applyFont="1" applyFill="1" applyAlignment="1">
      <alignment horizontal="center" vertical="center" wrapText="1"/>
      <protection/>
    </xf>
    <xf numFmtId="0" fontId="16" fillId="0" borderId="0" xfId="116" applyFont="1" applyFill="1" applyAlignment="1">
      <alignment horizontal="center" vertical="center"/>
      <protection/>
    </xf>
    <xf numFmtId="0" fontId="16" fillId="0" borderId="1" xfId="108" applyFont="1" applyFill="1" applyBorder="1" applyAlignment="1">
      <alignment horizontal="center" vertical="center" wrapText="1"/>
      <protection/>
    </xf>
    <xf numFmtId="0" fontId="66" fillId="0" borderId="0" xfId="0" applyFont="1" applyFill="1" applyBorder="1" applyAlignment="1">
      <alignment horizontal="center" vertical="center"/>
    </xf>
    <xf numFmtId="0" fontId="75" fillId="37" borderId="37" xfId="0" applyFont="1" applyFill="1" applyBorder="1" applyAlignment="1">
      <alignment horizontal="center" vertical="center"/>
    </xf>
    <xf numFmtId="0" fontId="20" fillId="0" borderId="0" xfId="0" applyFont="1" applyFill="1" applyAlignment="1">
      <alignment horizontal="left" vertical="center" wrapText="1"/>
    </xf>
    <xf numFmtId="0" fontId="78" fillId="0" borderId="0" xfId="0" applyNumberFormat="1" applyFont="1" applyAlignment="1">
      <alignment horizontal="left" vertical="center" wrapText="1"/>
    </xf>
    <xf numFmtId="0" fontId="75" fillId="37" borderId="0" xfId="0" applyFont="1" applyFill="1" applyBorder="1" applyAlignment="1">
      <alignment horizontal="center" vertical="center"/>
    </xf>
    <xf numFmtId="0" fontId="79" fillId="0" borderId="0" xfId="0" applyFont="1" applyAlignment="1">
      <alignment horizontal="center" vertical="center" wrapText="1"/>
    </xf>
    <xf numFmtId="0" fontId="61" fillId="0" borderId="26" xfId="103" applyFont="1" applyFill="1" applyBorder="1" applyAlignment="1">
      <alignment horizontal="center" vertical="center" wrapText="1"/>
      <protection/>
    </xf>
    <xf numFmtId="0" fontId="61" fillId="0" borderId="41" xfId="103" applyFont="1" applyFill="1" applyBorder="1" applyAlignment="1">
      <alignment horizontal="center" vertical="center" wrapText="1"/>
      <protection/>
    </xf>
    <xf numFmtId="0" fontId="16" fillId="0" borderId="0" xfId="103" applyFont="1" applyFill="1" applyAlignment="1">
      <alignment horizontal="center" vertical="center" wrapText="1"/>
      <protection/>
    </xf>
    <xf numFmtId="0" fontId="73" fillId="0" borderId="1" xfId="103" applyFont="1" applyFill="1" applyBorder="1" applyAlignment="1">
      <alignment horizontal="right" vertical="center"/>
      <protection/>
    </xf>
    <xf numFmtId="0" fontId="61" fillId="0" borderId="43" xfId="103" applyFont="1" applyFill="1" applyBorder="1" applyAlignment="1">
      <alignment horizontal="center" vertical="center" wrapText="1"/>
      <protection/>
    </xf>
    <xf numFmtId="0" fontId="61" fillId="0" borderId="44" xfId="103" applyFont="1" applyFill="1" applyBorder="1" applyAlignment="1">
      <alignment horizontal="center" vertical="center" wrapText="1"/>
      <protection/>
    </xf>
    <xf numFmtId="0" fontId="35" fillId="0" borderId="0" xfId="0" applyFont="1" applyAlignment="1">
      <alignment horizontal="center" vertical="center" wrapText="1"/>
    </xf>
    <xf numFmtId="0" fontId="66" fillId="0" borderId="26" xfId="0" applyFont="1" applyBorder="1" applyAlignment="1">
      <alignment horizontal="center" vertical="center" wrapText="1"/>
    </xf>
    <xf numFmtId="0" fontId="66" fillId="0" borderId="41" xfId="0" applyFont="1" applyBorder="1" applyAlignment="1">
      <alignment horizontal="center" vertical="center" wrapText="1"/>
    </xf>
    <xf numFmtId="0" fontId="66" fillId="0" borderId="9" xfId="0" applyFont="1" applyBorder="1" applyAlignment="1">
      <alignment horizontal="center" vertical="center" wrapText="1"/>
    </xf>
    <xf numFmtId="0" fontId="66" fillId="0" borderId="0" xfId="0" applyFont="1" applyAlignment="1">
      <alignment horizontal="center" vertical="center" wrapText="1"/>
    </xf>
    <xf numFmtId="3" fontId="20" fillId="0" borderId="27" xfId="118" applyNumberFormat="1" applyFont="1" applyFill="1" applyBorder="1" applyAlignment="1">
      <alignment horizontal="center" vertical="center"/>
      <protection/>
    </xf>
    <xf numFmtId="3" fontId="20" fillId="0" borderId="29" xfId="118" applyNumberFormat="1" applyFont="1" applyFill="1" applyBorder="1" applyAlignment="1">
      <alignment horizontal="center" vertical="center"/>
      <protection/>
    </xf>
    <xf numFmtId="3" fontId="20" fillId="0" borderId="23" xfId="118" applyNumberFormat="1" applyFont="1" applyFill="1" applyBorder="1" applyAlignment="1">
      <alignment horizontal="center" vertical="center"/>
      <protection/>
    </xf>
    <xf numFmtId="3" fontId="20" fillId="0" borderId="27" xfId="118" applyNumberFormat="1" applyFont="1" applyFill="1" applyBorder="1" applyAlignment="1">
      <alignment horizontal="center" vertical="center" wrapText="1"/>
      <protection/>
    </xf>
    <xf numFmtId="3" fontId="20" fillId="0" borderId="29" xfId="118" applyNumberFormat="1" applyFont="1" applyFill="1" applyBorder="1" applyAlignment="1">
      <alignment horizontal="center" vertical="center" wrapText="1"/>
      <protection/>
    </xf>
    <xf numFmtId="3" fontId="20" fillId="0" borderId="23" xfId="118" applyNumberFormat="1" applyFont="1" applyFill="1" applyBorder="1" applyAlignment="1">
      <alignment horizontal="center" vertical="center" wrapText="1"/>
      <protection/>
    </xf>
    <xf numFmtId="0" fontId="16" fillId="0" borderId="0" xfId="118" applyFont="1" applyFill="1" applyBorder="1" applyAlignment="1">
      <alignment horizontal="right" vertical="center" wrapText="1"/>
      <protection/>
    </xf>
    <xf numFmtId="0" fontId="37" fillId="0" borderId="0" xfId="118" applyFont="1" applyFill="1" applyBorder="1" applyAlignment="1">
      <alignment horizontal="right" vertical="center" wrapText="1"/>
      <protection/>
    </xf>
    <xf numFmtId="0" fontId="16" fillId="0" borderId="0" xfId="118" applyFont="1" applyFill="1" applyBorder="1" applyAlignment="1">
      <alignment horizontal="center" vertical="center" wrapText="1"/>
      <protection/>
    </xf>
    <xf numFmtId="0" fontId="16" fillId="0" borderId="14" xfId="118" applyFont="1" applyFill="1" applyBorder="1" applyAlignment="1">
      <alignment horizontal="center" vertical="center" wrapText="1"/>
      <protection/>
    </xf>
    <xf numFmtId="0" fontId="16" fillId="0" borderId="5" xfId="118" applyFont="1" applyFill="1" applyBorder="1" applyAlignment="1">
      <alignment horizontal="center" vertical="center" wrapText="1"/>
      <protection/>
    </xf>
    <xf numFmtId="0" fontId="16" fillId="0" borderId="42" xfId="118" applyFont="1" applyFill="1" applyBorder="1" applyAlignment="1">
      <alignment horizontal="center" vertical="center" wrapText="1"/>
      <protection/>
    </xf>
    <xf numFmtId="0" fontId="29" fillId="0" borderId="44" xfId="0" applyFont="1" applyBorder="1" applyAlignment="1">
      <alignment horizontal="center" vertical="center" wrapText="1"/>
    </xf>
    <xf numFmtId="0" fontId="29" fillId="0" borderId="45"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41" xfId="0" applyFont="1" applyBorder="1" applyAlignment="1">
      <alignment horizontal="center" vertical="center" wrapText="1"/>
    </xf>
    <xf numFmtId="0" fontId="3" fillId="0" borderId="0" xfId="0" applyFont="1" applyAlignment="1">
      <alignment horizontal="center" vertical="center"/>
    </xf>
    <xf numFmtId="0" fontId="0" fillId="0" borderId="9" xfId="0" applyBorder="1" applyAlignment="1">
      <alignment horizontal="center"/>
    </xf>
    <xf numFmtId="0" fontId="0" fillId="0" borderId="0" xfId="0" applyAlignment="1">
      <alignment horizontal="center"/>
    </xf>
  </cellXfs>
  <cellStyles count="152">
    <cellStyle name="Normal" xfId="0"/>
    <cellStyle name="&#13;&#10;JournalTemplate=C:\COMFO\CTALK\JOURSTD.TPL&#13;&#10;LbStateAddress=3 3 0 251 1 89 2 311&#13;&#10;LbStateJou" xfId="15"/>
    <cellStyle name="_73118_79029"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52"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AeE­ [0]_INQUIRY ¿μ¾÷AßAø " xfId="42"/>
    <cellStyle name="AeE­_INQUIRY ¿µ¾÷AßAø " xfId="43"/>
    <cellStyle name="AÞ¸¶ [0]_INQUIRY ¿?¾÷AßAø " xfId="44"/>
    <cellStyle name="AÞ¸¶_INQUIRY ¿?¾÷AßAø " xfId="45"/>
    <cellStyle name="Bad" xfId="46"/>
    <cellStyle name="C?AØ_¿?¾÷CoE² " xfId="47"/>
    <cellStyle name="C￥AØ_¿μ¾÷CoE² " xfId="48"/>
    <cellStyle name="Calculation" xfId="49"/>
    <cellStyle name="Check Cell" xfId="50"/>
    <cellStyle name="Comma" xfId="51"/>
    <cellStyle name="Comma [0]" xfId="52"/>
    <cellStyle name="Comma 2" xfId="53"/>
    <cellStyle name="Comma 3" xfId="54"/>
    <cellStyle name="Comma 3 2" xfId="55"/>
    <cellStyle name="Comma 3 3" xfId="56"/>
    <cellStyle name="Comma 3 4" xfId="57"/>
    <cellStyle name="Comma 4" xfId="58"/>
    <cellStyle name="Comma 4 2" xfId="59"/>
    <cellStyle name="Comma 4 3" xfId="60"/>
    <cellStyle name="comma zerodec" xfId="61"/>
    <cellStyle name="Comma_Cocau2004(22-11)" xfId="62"/>
    <cellStyle name="Comma0" xfId="63"/>
    <cellStyle name="Currency" xfId="64"/>
    <cellStyle name="Currency [0]" xfId="65"/>
    <cellStyle name="Currency0" xfId="66"/>
    <cellStyle name="Currency1" xfId="67"/>
    <cellStyle name="Date" xfId="68"/>
    <cellStyle name="Dollar (zero dec)" xfId="69"/>
    <cellStyle name="Explanatory Text" xfId="70"/>
    <cellStyle name="Fixed" xfId="71"/>
    <cellStyle name="Followed Hyperlink" xfId="72"/>
    <cellStyle name="Good" xfId="73"/>
    <cellStyle name="Grey" xfId="74"/>
    <cellStyle name="Header1" xfId="75"/>
    <cellStyle name="Header2" xfId="76"/>
    <cellStyle name="Heading 1" xfId="77"/>
    <cellStyle name="Heading 2" xfId="78"/>
    <cellStyle name="Heading 3" xfId="79"/>
    <cellStyle name="Heading 4" xfId="80"/>
    <cellStyle name="HEADING1" xfId="81"/>
    <cellStyle name="HEADING2" xfId="82"/>
    <cellStyle name="Hyperlink" xfId="83"/>
    <cellStyle name="Input" xfId="84"/>
    <cellStyle name="Input [yellow]" xfId="85"/>
    <cellStyle name="Linked Cell" xfId="86"/>
    <cellStyle name="Loai CBDT" xfId="87"/>
    <cellStyle name="Loai CT" xfId="88"/>
    <cellStyle name="Loai GD" xfId="89"/>
    <cellStyle name="Monétaire [0]_TARIFFS DB" xfId="90"/>
    <cellStyle name="Monétaire_TARIFFS DB" xfId="91"/>
    <cellStyle name="n" xfId="92"/>
    <cellStyle name="Neutral" xfId="93"/>
    <cellStyle name="New Times Roman" xfId="94"/>
    <cellStyle name="no dec" xfId="95"/>
    <cellStyle name="Normal - Style1" xfId="96"/>
    <cellStyle name="Normal 10" xfId="97"/>
    <cellStyle name="Normal 11" xfId="98"/>
    <cellStyle name="Normal 12" xfId="99"/>
    <cellStyle name="Normal 13" xfId="100"/>
    <cellStyle name="Normal 14" xfId="101"/>
    <cellStyle name="Normal 15" xfId="102"/>
    <cellStyle name="Normal 2" xfId="103"/>
    <cellStyle name="Normal 2 2" xfId="104"/>
    <cellStyle name="Normal 2 2 2" xfId="105"/>
    <cellStyle name="Normal 3" xfId="106"/>
    <cellStyle name="Normal 4" xfId="107"/>
    <cellStyle name="Normal 4 2" xfId="108"/>
    <cellStyle name="Normal 5" xfId="109"/>
    <cellStyle name="Normal 5 2" xfId="110"/>
    <cellStyle name="Normal 6" xfId="111"/>
    <cellStyle name="Normal 7" xfId="112"/>
    <cellStyle name="Normal 8" xfId="113"/>
    <cellStyle name="Normal 9" xfId="114"/>
    <cellStyle name="Normal_73205_79112(1)" xfId="115"/>
    <cellStyle name="Normal_Cocau2004(22-11)" xfId="116"/>
    <cellStyle name="Normal_Cong nghiep T12.08 2" xfId="117"/>
    <cellStyle name="Normal_Phu luc 2 (11.10.08)" xfId="118"/>
    <cellStyle name="Note" xfId="119"/>
    <cellStyle name="Output" xfId="120"/>
    <cellStyle name="Percent" xfId="121"/>
    <cellStyle name="Percent [2]" xfId="122"/>
    <cellStyle name="Percent 10" xfId="123"/>
    <cellStyle name="Percent 11" xfId="124"/>
    <cellStyle name="Percent 12" xfId="125"/>
    <cellStyle name="Percent 2" xfId="126"/>
    <cellStyle name="Percent 2 2" xfId="127"/>
    <cellStyle name="Percent 3" xfId="128"/>
    <cellStyle name="Percent 4" xfId="129"/>
    <cellStyle name="Percent 5" xfId="130"/>
    <cellStyle name="Percent 6" xfId="131"/>
    <cellStyle name="Percent 7" xfId="132"/>
    <cellStyle name="Percent 8" xfId="133"/>
    <cellStyle name="Percent 9" xfId="134"/>
    <cellStyle name="Style 1" xfId="135"/>
    <cellStyle name="T" xfId="136"/>
    <cellStyle name="th" xfId="137"/>
    <cellStyle name="Title" xfId="138"/>
    <cellStyle name="Tong so" xfId="139"/>
    <cellStyle name="tong so 1" xfId="140"/>
    <cellStyle name="Total" xfId="141"/>
    <cellStyle name="viet" xfId="142"/>
    <cellStyle name="viet2" xfId="143"/>
    <cellStyle name="Warning Text" xfId="144"/>
    <cellStyle name="xuan" xfId="145"/>
    <cellStyle name="똿뗦먛귟 [0.00]_PRODUCT DETAIL Q1" xfId="146"/>
    <cellStyle name="똿뗦먛귟_PRODUCT DETAIL Q1" xfId="147"/>
    <cellStyle name="믅됞 [0.00]_PRODUCT DETAIL Q1" xfId="148"/>
    <cellStyle name="믅됞_PRODUCT DETAIL Q1" xfId="149"/>
    <cellStyle name="백분율_95" xfId="150"/>
    <cellStyle name="뷭?_BOOKSHIP" xfId="151"/>
    <cellStyle name="一般_00Q3902REV.1" xfId="152"/>
    <cellStyle name="千分位[0]_00Q3902REV.1" xfId="153"/>
    <cellStyle name="千分位_00Q3902REV.1" xfId="154"/>
    <cellStyle name="콤마 [0]_1202" xfId="155"/>
    <cellStyle name="콤마_1202" xfId="156"/>
    <cellStyle name="통화 [0]_1202" xfId="157"/>
    <cellStyle name="통화_1202" xfId="158"/>
    <cellStyle name="표준_(정보부문)월별인원계획" xfId="159"/>
    <cellStyle name="貨幣 [0]_00Q3902REV.1" xfId="160"/>
    <cellStyle name="貨幣[0]_BRE" xfId="161"/>
    <cellStyle name="貨幣_00Q3902REV.1" xfId="162"/>
    <cellStyle name=" [0.00]_ Att. 1- Cover" xfId="163"/>
    <cellStyle name="_ Att. 1- Cover" xfId="164"/>
    <cellStyle name="?_ Att. 1- Cover" xfId="1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MGT-DRT\MGT-IMPR\MGT-SC@\BA0397\INSULT'N\INS\ASK\PIPE-03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y%20Documents\2011-2015\2011-2015\FINAL\My%20Documents\So%20tay%20ke%20hoach\So%20tay%20Kh%202007\3_Co%20cau%20nguon%20von%20theo%20nganh_linh%20vuc%20_chi%20Phu%20Ha_page66_7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iacong2\c\96Q2573\HE-7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y%20Documents\2011-2015\2011-2015\FINAL\5nam2011-2015\2011\Thang8-2011\HopCP(30-8-2011)\cocauDT(28-8-201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Copy\KH%205%20nam%202016-2020\Cac%20nganh.%20huyen.%20thi\BM1-CTT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TDT"/>
      <sheetName val="xl"/>
      <sheetName val="NN"/>
      <sheetName val="Tralaivay"/>
      <sheetName val="TBTN"/>
      <sheetName val="CPTV"/>
      <sheetName val="PCCHAY"/>
      <sheetName val="dtks"/>
      <sheetName val="DGXDCB"/>
      <sheetName val="DEM"/>
      <sheetName val="KHOILUONG"/>
      <sheetName val="DONGIA"/>
      <sheetName val="CPKSTK"/>
      <sheetName val="THIETBI"/>
      <sheetName val="VC1"/>
      <sheetName val="VC2"/>
      <sheetName val="VC3"/>
      <sheetName val="VC4"/>
      <sheetName val="VC5"/>
      <sheetName val="BaoCao"/>
      <sheetName val="TT"/>
      <sheetName val="CO SO DU LIEU PTVL"/>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Dec31"/>
      <sheetName val="Jan2"/>
      <sheetName val="Jan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hung tu"/>
      <sheetName val="So cai"/>
      <sheetName val="Can doi"/>
      <sheetName val="Phat sinh"/>
      <sheetName val="00000005"/>
      <sheetName val="00000006"/>
      <sheetName val="Cau 2(3)"/>
    </sheetNames>
    <definedNames>
      <definedName name="DataFilter"/>
      <definedName name="DataSort"/>
      <definedName name="GoBack" sheetId="1"/>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o tay_Co cau von 2007"/>
      <sheetName val="Sheet1"/>
      <sheetName val="Tong hop"/>
      <sheetName val="new"/>
      <sheetName val="0000000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 val="XL4Poppy"/>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37"/>
      <sheetName val="Sheet38"/>
      <sheetName val="Sheet39"/>
      <sheetName val="Sheet40"/>
      <sheetName val="Sheet41"/>
      <sheetName val="Sheet42"/>
      <sheetName val="Sheet43"/>
      <sheetName val="Sheet44"/>
      <sheetName val="Sheet45"/>
      <sheetName val="Sheet46"/>
      <sheetName val="Sheet47"/>
      <sheetName val="Sheet48"/>
      <sheetName val="Sheet49"/>
      <sheetName val="Sheet50"/>
      <sheetName val="00000000"/>
      <sheetName val="T12-01"/>
      <sheetName val="T1-02"/>
      <sheetName val="T5"/>
      <sheetName val="T6"/>
      <sheetName val="T7"/>
      <sheetName val="T8"/>
      <sheetName val="T9"/>
      <sheetName val="T10"/>
      <sheetName val="T11"/>
      <sheetName val="T12"/>
      <sheetName val="CTCN"/>
      <sheetName val="QTHD"/>
      <sheetName val="Giao"/>
      <sheetName val="CHIET TINH"/>
      <sheetName val="Bang gia Ca May"/>
      <sheetName val="Bang Gia VL"/>
      <sheetName val="Tong Hop KP"/>
      <sheetName val=" DON GIA"/>
      <sheetName val="CHIET TINH THEO KH.SAT"/>
      <sheetName val="DT thi ngiem"/>
      <sheetName val="TH DT thi nghiem"/>
      <sheetName val="TH DT"/>
      <sheetName val="DT2"/>
      <sheetName val="CT"/>
      <sheetName val="KL xa"/>
      <sheetName val="KL cot"/>
      <sheetName val="Xa su"/>
      <sheetName val="CP Xa"/>
      <sheetName val="THDT xa"/>
      <sheetName val="Cot dien"/>
      <sheetName val="TH cot"/>
      <sheetName val="CT VC cot"/>
      <sheetName val="VC CT ma"/>
      <sheetName val="CT cot thep"/>
      <sheetName val="CT ma kem"/>
      <sheetName val="PBKL"/>
      <sheetName val="CT be tong"/>
      <sheetName val="C.tinh"/>
      <sheetName val="NC"/>
      <sheetName val="VL"/>
      <sheetName val="THDT"/>
      <sheetName val="BIA"/>
      <sheetName val="THQT"/>
      <sheetName val="CT HT"/>
      <sheetName val="B tinh"/>
      <sheetName val="XD"/>
      <sheetName val="TH VT A"/>
      <sheetName val="VTAcap"/>
      <sheetName val="DCVTACaP"/>
      <sheetName val="TKHC-35"/>
      <sheetName val="TKTK0,4"/>
      <sheetName val="BangPhanday"/>
      <sheetName val="DANBVE"/>
      <sheetName val="TKHC-0,4"/>
      <sheetName val="TKTK-35"/>
      <sheetName val="KL GD2 tong the"/>
      <sheetName val="TKHC-CT"/>
      <sheetName val="MC,MN"/>
      <sheetName val="X,TD"/>
      <sheetName val="TBA,CTO"/>
      <sheetName val="CD"/>
      <sheetName val="Cot"/>
      <sheetName val="TTGD2"/>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Vatlieu"/>
      <sheetName val="DgDuong"/>
      <sheetName val="dgmo-tru"/>
      <sheetName val="dgdam"/>
      <sheetName val="Dam-Mo-Tru"/>
      <sheetName val="dgcong"/>
      <sheetName val="DPD"/>
      <sheetName val="DTDuong"/>
      <sheetName val="GTXLc"/>
      <sheetName val="CPXLk"/>
      <sheetName val="DBu"/>
      <sheetName val="KPTH"/>
      <sheetName val="Bang KL ket cau"/>
      <sheetName val="tuyen"/>
      <sheetName val="dgcoc"/>
      <sheetName val="CP3-3nhip(L=130,251m)(OK)"/>
      <sheetName val="CP4-7nhip(L=289,384m)(OK)"/>
      <sheetName val="CP5-3nhip(L=130,27m)(OK)"/>
      <sheetName val="CP6-4nhip(L=170,5m)(OK)"/>
      <sheetName val="GTXLc-Doan2"/>
      <sheetName val="do xe"/>
      <sheetName val="GT do xe"/>
      <sheetName val="Bieu TH"/>
      <sheetName val="TH lop khoan"/>
      <sheetName val="cdkhoan"/>
      <sheetName val="DG cau"/>
      <sheetName val="PA1-Cau banDUL(1x12m)"/>
      <sheetName val="PA2-Cong ds 2(3x3,5)"/>
      <sheetName val="XL(chinh+khac)"/>
      <sheetName val="S-VK (I)"/>
      <sheetName val="Bang KL"/>
      <sheetName val="CP1-3nhip(L=130,4m)"/>
      <sheetName val="CP2-4nhip(L=170,4m)"/>
      <sheetName val="CP6-4nhip(L=170,4m)"/>
      <sheetName val="KL nhip"/>
      <sheetName val="KL-6cau"/>
      <sheetName val="D12TUVAN"/>
      <sheetName val="D7Longhiep"/>
      <sheetName val="NMNHUa"/>
      <sheetName val="DXMay"/>
      <sheetName val="D7TT3"/>
      <sheetName val="PXII"/>
      <sheetName val="Vaycuong"/>
      <sheetName val="DCUONG"/>
      <sheetName val="DVINA"/>
      <sheetName val="DCKCUONG"/>
      <sheetName val="D3KSVINA"/>
      <sheetName val="DOI 7"/>
      <sheetName val="DOI 3"/>
      <sheetName val="DOI1"/>
      <sheetName val="DOI6"/>
      <sheetName val="DOI5"/>
      <sheetName val="QuyI"/>
      <sheetName val="QuyII"/>
      <sheetName val="QUYIII"/>
      <sheetName val="QUYIV"/>
      <sheetName val="quy1"/>
      <sheetName val="QUY2"/>
      <sheetName val="QUY3"/>
      <sheetName val="QUY4"/>
      <sheetName val="00000001"/>
      <sheetName val="00000002"/>
      <sheetName val="00000003"/>
      <sheetName val="00000004"/>
      <sheetName val="Du toan"/>
      <sheetName val="Phan tich vat tu"/>
      <sheetName val="Tong hop vat tu"/>
      <sheetName val="Gia tri vat tu"/>
      <sheetName val="Chenh lech vat tu"/>
      <sheetName val="Chi phi van chuyen"/>
      <sheetName val="Don gia chi tiet"/>
      <sheetName val="Du thau"/>
      <sheetName val="Tong hop kinh phi"/>
      <sheetName val="Tu van Thiet ke"/>
      <sheetName val="Tien do thi cong"/>
      <sheetName val="Bia du toan"/>
      <sheetName val="Tro giup"/>
      <sheetName val="Config"/>
      <sheetName val="T3(9)"/>
      <sheetName val="T2(9)"/>
      <sheetName val="T5(10)"/>
      <sheetName val="T4(10)"/>
      <sheetName val="T3(10)"/>
      <sheetName val="T2(10)"/>
      <sheetName val="T1(10)"/>
      <sheetName val="T4(9)"/>
      <sheetName val="T1(9)"/>
      <sheetName val="T4(T8)"/>
      <sheetName val="T3(T8]"/>
      <sheetName val="T2(T8]"/>
      <sheetName val="T1(T8]"/>
      <sheetName val="T4(T7}"/>
      <sheetName val="T3(T7]"/>
      <sheetName val="T2(T7]"/>
      <sheetName val="T1(T7]"/>
      <sheetName val="T3[6]"/>
      <sheetName val="T2[6]"/>
      <sheetName val="T1(6)"/>
      <sheetName val="T4(05)"/>
      <sheetName val="T3(05)"/>
      <sheetName val="T2(05)"/>
      <sheetName val="T3(3)03"/>
      <sheetName val="T1(04)"/>
      <sheetName val="T5(03)"/>
      <sheetName val="T4(03)"/>
      <sheetName val="DKTT"/>
      <sheetName val="N-luc"/>
      <sheetName val="TH-Tai trong"/>
      <sheetName val="Xamu"/>
      <sheetName val="Than tru"/>
      <sheetName val="Be coc"/>
      <sheetName val="PTDDat-Tru"/>
      <sheetName val="PTDDat-nhip"/>
      <sheetName val="PTDDat-nhipLT"/>
      <sheetName val="UNIT"/>
      <sheetName val="Piers of Main Flyover (1)"/>
      <sheetName val="Cot Tru1"/>
      <sheetName val="P3-TanAn-Factored"/>
      <sheetName val="P4-TanAn-Factored"/>
      <sheetName val="COC KHOAN M1"/>
      <sheetName val="COC KHOAN M2"/>
      <sheetName val="COC KHOAN T1"/>
      <sheetName val="COC KHOAN T5"/>
      <sheetName val="COC KHOAN T4"/>
      <sheetName val="COC DONG"/>
      <sheetName val="BANG"/>
      <sheetName val="2001"/>
      <sheetName val="T.H 01"/>
      <sheetName val="2000"/>
      <sheetName val="Thang_1"/>
      <sheetName val="Thang_2"/>
      <sheetName val="Thang_3"/>
      <sheetName val="Thang_4"/>
      <sheetName val="Chitiet"/>
      <sheetName val="PTich"/>
      <sheetName val="TongHop"/>
      <sheetName val="NhapCN"/>
      <sheetName val="THBaocao"/>
      <sheetName val="THThang"/>
      <sheetName val="THtoanbo"/>
      <sheetName val="THboxung"/>
      <sheetName val="PTVT"/>
      <sheetName val="CLechVTSon5.5.03"/>
      <sheetName val="THKPBXSon5.5.03"/>
      <sheetName val="BXSon+binh5.5.03"/>
      <sheetName val="thau"/>
      <sheetName val="XXXXXXXX"/>
      <sheetName val="XXXXXXX0"/>
      <sheetName val="XXXXXXX1"/>
      <sheetName val="XXXXXXX2"/>
      <sheetName val="XXXXXXX3"/>
      <sheetName val="XXXXXXX4"/>
      <sheetName val="XXXXXXX5"/>
      <sheetName val="Gia da dam"/>
      <sheetName val="Gia VLXD"/>
      <sheetName val="Sluong"/>
      <sheetName val="t1e21"/>
      <sheetName val="t1e20"/>
      <sheetName val="t1e18"/>
      <sheetName val="t2e17"/>
      <sheetName val="t1e17"/>
      <sheetName val="t1e15"/>
      <sheetName val="t2e14"/>
      <sheetName val="t1e14"/>
      <sheetName val="t2e13"/>
      <sheetName val="t1e13"/>
      <sheetName val="t2e12"/>
      <sheetName val="t1e12"/>
      <sheetName val="t2e11"/>
      <sheetName val="t1e11"/>
      <sheetName val="t2e10"/>
      <sheetName val="t1e10"/>
      <sheetName val="t3e9"/>
      <sheetName val="t2e9"/>
      <sheetName val="t1e9"/>
      <sheetName val="t3e8"/>
      <sheetName val="t2e8"/>
      <sheetName val="t1e8cu"/>
      <sheetName val="t3e5"/>
      <sheetName val="t2e5"/>
      <sheetName val="t1e5moi"/>
      <sheetName val="t1e5cu"/>
      <sheetName val="t2e2"/>
      <sheetName val="t1e2"/>
      <sheetName val="t3e1"/>
      <sheetName val="t2e1"/>
      <sheetName val="t1e1"/>
      <sheetName val="CPTK"/>
      <sheetName val="DMTK"/>
      <sheetName val="DGiaCTiet"/>
      <sheetName val="DTCT"/>
      <sheetName val="THKP (2)"/>
      <sheetName val="TM"/>
      <sheetName val="BU-gian"/>
      <sheetName val="Bu-Ha"/>
      <sheetName val="Gia DAN"/>
      <sheetName val="Dan"/>
      <sheetName val="Cuoc"/>
      <sheetName val="Bugia"/>
      <sheetName val="VT"/>
      <sheetName val="KL57"/>
      <sheetName val="THop"/>
      <sheetName val="GTXL "/>
      <sheetName val="ptdg"/>
      <sheetName val="vc-tau"/>
      <sheetName val="O-to"/>
      <sheetName val="gia"/>
      <sheetName val="KL"/>
      <sheetName val="KS"/>
      <sheetName val="DGKS"/>
      <sheetName val="TK"/>
      <sheetName val="TKP-Hang"/>
      <sheetName val="TH-hang"/>
      <sheetName val="luong"/>
      <sheetName val="TH8T"/>
      <sheetName val="VT10"/>
      <sheetName val="VT11"/>
      <sheetName val="VT11 (2)"/>
      <sheetName val="GTXL"/>
      <sheetName val="dgchitiet"/>
      <sheetName val="DTCong"/>
      <sheetName val="KLuong(cong)"/>
      <sheetName val="DHai(banDUL-5x20,05m)"/>
      <sheetName val="KVinh(banDUL-3x21,05m)"/>
      <sheetName val="KLuong(Cau)"/>
      <sheetName val="M"/>
      <sheetName val="GTXLk"/>
      <sheetName val="dg(cau)"/>
      <sheetName val="DT(KVinh)"/>
      <sheetName val="DT(DHai)"/>
      <sheetName val="DT(cong)"/>
      <sheetName val="CTXD"/>
      <sheetName val="20000000"/>
      <sheetName val="30000000"/>
      <sheetName val="Bang TH"/>
      <sheetName val="ktcau"/>
      <sheetName val="KTcaulon"/>
      <sheetName val="DGia"/>
      <sheetName val="Vuot can(81-110)-ok"/>
      <sheetName val="L4,T5 nuoc(81-110)-ok"/>
      <sheetName val="L,T,nuoc+can(70-81)-ok"/>
      <sheetName val="Vuot can(35-70)-ok"/>
      <sheetName val="L,T,N nuoc (35-70)-ok"/>
      <sheetName val="L,T,N nuoc (0-35)-ok"/>
      <sheetName val="Vuot can(0-35)-ok"/>
      <sheetName val="Duong(0-35)-ok"/>
      <sheetName val="KL-Cau lon"/>
      <sheetName val="KL-Cau trung"/>
      <sheetName val="KL-Cau vuot nut"/>
      <sheetName val="1nhip"/>
      <sheetName val="TH Cau-PA kien nghi"/>
      <sheetName val="L(4),T(5) nuoc(81-110)"/>
      <sheetName val="Vuot can7 (81-110)"/>
      <sheetName val="Tach XL"/>
      <sheetName val="KL cau Bac Phu Cat"/>
      <sheetName val="Dam, mo, tru"/>
      <sheetName val="Tuong chan"/>
      <sheetName val="dgchitiet-cau"/>
      <sheetName val="GTXL(03)"/>
      <sheetName val="Gia VL"/>
      <sheetName val="CPXD(03+04)"/>
      <sheetName val="dgphu"/>
      <sheetName val="GTXL(TT03)"/>
      <sheetName val="May"/>
      <sheetName val="VLieu"/>
      <sheetName val="GTXL(TT03-2005)"/>
      <sheetName val="CP1-3nhip(L=130,40m)"/>
      <sheetName val="CP2-4nhip(L=170,40m)"/>
      <sheetName val="KLTB- 2"/>
      <sheetName val="KLTB- 1"/>
      <sheetName val="Thep"/>
      <sheetName val="KL chi tiet"/>
      <sheetName val="THKP-TT03+04(sauduyet)"/>
      <sheetName val="KM0"/>
      <sheetName val="He so(TT03+04)"/>
      <sheetName val="PL Vua(DTTK)"/>
      <sheetName val="dgchitiet(TT03+04)"/>
      <sheetName val="Dieu phoi(DTTK)"/>
      <sheetName val="DTduong(TT03+04)"/>
      <sheetName val="KLduong(duyet)"/>
      <sheetName val="Cau chinh (dam)-TT03+04"/>
      <sheetName val="Cau chinh (motru)-TT03+04"/>
      <sheetName val="KC dam ban(TT03+04)"/>
      <sheetName val="KL-cau"/>
      <sheetName val="KL-nhip dam"/>
      <sheetName val="KL-coc"/>
      <sheetName val="Thi cong"/>
      <sheetName val="DG chitiet"/>
      <sheetName val="KLcau"/>
      <sheetName val="Yalop(5x33m)-TDUL"/>
      <sheetName val="Gia tri XLc"/>
      <sheetName val="6-Cau lon (CLH) ok"/>
      <sheetName val="3-L,T,nuoc+can(70-81)-PA1,2,3"/>
      <sheetName val="5-L,T,N (110-131+008)-PA1,2,3"/>
      <sheetName val="5-Nut (110-131+008)-PA1,2,3"/>
      <sheetName val="4-Vuot can(81-110)-PA1,2,3"/>
      <sheetName val="2-T,N nuoc (35-70)-PA1,2,3"/>
      <sheetName val="2-Lon nuoc (35-70)-PA1,2,3"/>
      <sheetName val="2-Vuot can(35-70)-PA1,2,3"/>
      <sheetName val="1-Trung(0-35) PA1,2,3"/>
      <sheetName val="1-L,N nuoc (0-35) PA1&amp;2 "/>
      <sheetName val="1-L,N nuoc (0-35) PA3 "/>
      <sheetName val="1-Vuot can(0-35) PA1,2,3"/>
      <sheetName val="4-L4,T5 nuoc(81-110)-PA1,2,3"/>
      <sheetName val="Cong(0-131)-PA3"/>
      <sheetName val="Cong(0-131)- PA2"/>
      <sheetName val="Cong(0-131)- PA1"/>
      <sheetName val="TienXL-3PA"/>
      <sheetName val="TienXL-PA1,2"/>
      <sheetName val="Cong(KM1+640-KM5+540)"/>
      <sheetName val="KM 209(1x18m)-Tthuong"/>
      <sheetName val="KM 205(1x12m)-BanDUL"/>
      <sheetName val="GTXL-PA1"/>
      <sheetName val="GTXL-PA2"/>
      <sheetName val="GTXL-PA3"/>
      <sheetName val="1 nhip"/>
      <sheetName val="THKL"/>
      <sheetName val="Vat Lieu "/>
      <sheetName val="CP3-3nhip(L=130,423m)"/>
      <sheetName val="KLTB- 3"/>
      <sheetName val="CP5-3nhip(L=130,27m)"/>
      <sheetName val="KLTB- 5"/>
      <sheetName val="CP6-4nhip(L=170,40m)"/>
      <sheetName val="GTXL(TT03+04)"/>
      <sheetName val="KLTB- 6"/>
      <sheetName val="NhapSL"/>
      <sheetName val="TH cac DG"/>
      <sheetName val="DGTH"/>
      <sheetName val="CTcongtron"/>
      <sheetName val="Gia 1m3 dam"/>
      <sheetName val="KLVL 1nhip"/>
      <sheetName val="DG #"/>
      <sheetName val="1md cong ban"/>
      <sheetName val="Be day cong"/>
      <sheetName val="Khoan diachat"/>
      <sheetName val="GTXL-Cau"/>
      <sheetName val="DHai(ban-5x20,05m;coc40x40)"/>
      <sheetName val="KVinh(ban-3x21,05m;PA2)"/>
      <sheetName val="KVinh(ban-3x24m;PA1)"/>
      <sheetName val="KPsaudc"/>
      <sheetName val="GiaVL"/>
      <sheetName val="Dam(Sua sau TT)"/>
      <sheetName val="DG mo, tru(Sua sau TT)"/>
      <sheetName val="Coc(Sua sau TT)"/>
      <sheetName val="Duong(Sua sau TT)"/>
      <sheetName val="DPDat(Sau TT)"/>
      <sheetName val="DTCT(dc TT03&amp;04) "/>
      <sheetName val="Denbu"/>
      <sheetName val="40000000"/>
      <sheetName val="50000000"/>
      <sheetName val="NMQII-100"/>
      <sheetName val="NMQII"/>
      <sheetName val="MTQII"/>
      <sheetName val="CTYQII"/>
      <sheetName val="PTVT goc"/>
      <sheetName val="DG goc"/>
      <sheetName val="CLVL goc"/>
      <sheetName val="khoi luong"/>
      <sheetName val="ptxd"/>
      <sheetName val="ptnuoc"/>
      <sheetName val="bu gia"/>
      <sheetName val="bien ban"/>
      <sheetName val="q2"/>
      <sheetName val="q3"/>
      <sheetName val="q4"/>
      <sheetName val="Tien ung"/>
      <sheetName val="PHONG"/>
      <sheetName val="phi luong3"/>
      <sheetName val="XL4Test5"/>
      <sheetName val="CAN DOI"/>
      <sheetName val="PTPT"/>
      <sheetName val="TK 141"/>
      <sheetName val="NO CTy"/>
      <sheetName val="Chart1"/>
      <sheetName val="Phantich"/>
      <sheetName val="Toan_DA"/>
      <sheetName val="2004"/>
      <sheetName val="2005"/>
      <sheetName val="CW of Hoabinh  2002"/>
      <sheetName val=" Goods of Hoabinh 2002 "/>
      <sheetName val="BC"/>
      <sheetName val="Chi tiet"/>
      <sheetName val="Vat tu"/>
      <sheetName val="Thiet ke"/>
      <sheetName val="TH KL,VT,KP"/>
      <sheetName val="Den bu"/>
      <sheetName val="#REF"/>
      <sheetName val="HC-01"/>
      <sheetName val="HC-02"/>
      <sheetName val="HC-03"/>
      <sheetName val="HC-04"/>
      <sheetName val="HC-05"/>
      <sheetName val="HC-06"/>
      <sheetName val="HC-07"/>
      <sheetName val="HC-08"/>
      <sheetName val="HC-09"/>
      <sheetName val="HC-10"/>
      <sheetName val="HC-11"/>
      <sheetName val="HC-12"/>
      <sheetName val="HC-13"/>
      <sheetName val="HC-14"/>
      <sheetName val="HC-15"/>
      <sheetName val="HC-16"/>
      <sheetName val="HC-17"/>
      <sheetName val="HC-18"/>
      <sheetName val="Bia1"/>
      <sheetName val="THKC"/>
      <sheetName val="THKC (2)"/>
      <sheetName val="THKC (3)"/>
      <sheetName val="VtuB"/>
      <sheetName val="VtuA"/>
      <sheetName val="CAMmoi"/>
      <sheetName val="CAM1"/>
      <sheetName val="CAMcu"/>
      <sheetName val="CAM2"/>
      <sheetName val="Dec31"/>
      <sheetName val="Jan2"/>
      <sheetName val="Jan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0002"/>
      <sheetName val="0003"/>
      <sheetName val="0004"/>
      <sheetName val="005"/>
      <sheetName val="0006"/>
      <sheetName val="0007"/>
      <sheetName val="0008"/>
      <sheetName val="009"/>
      <sheetName val="stabguide"/>
      <sheetName val="riser 02.01"/>
      <sheetName val="TONG CONG "/>
      <sheetName val="phu luc "/>
      <sheetName val="PT VT "/>
      <sheetName val="c. lech v t"/>
      <sheetName val="Q.Tc.xanh  "/>
      <sheetName val="Tang giam KL "/>
      <sheetName val="CF"/>
      <sheetName val="Trich 154"/>
      <sheetName val="Van Son"/>
      <sheetName val="Nga"/>
      <sheetName val="Bac"/>
      <sheetName val="Dung"/>
      <sheetName val="Minh"/>
      <sheetName val="TSon"/>
      <sheetName val="THi-VAn"/>
      <sheetName val="Ky"/>
      <sheetName val="Tien"/>
      <sheetName val="Van"/>
      <sheetName val="Hoang "/>
      <sheetName val="MTuan"/>
      <sheetName val="VINH"/>
      <sheetName val="CUONG"/>
      <sheetName val="Hoai"/>
      <sheetName val="THANH"/>
      <sheetName val="Sau"/>
      <sheetName val="Linh"/>
      <sheetName val="ngatt"/>
      <sheetName val="Ba-02"/>
      <sheetName val="Bac-2"/>
      <sheetName val="Dong"/>
      <sheetName val="Hung"/>
      <sheetName val="CT3-138"/>
      <sheetName val="CT4-138-01"/>
      <sheetName val="CT138-1-02"/>
      <sheetName val="338"/>
      <sheetName val="CP6-4nhip(L=170,5e)(OK)"/>
      <sheetName val="00000005"/>
      <sheetName val="00000006"/>
      <sheetName val="Q1-02"/>
      <sheetName val="Q2-02"/>
      <sheetName val="Q3-02"/>
      <sheetName val="B ke"/>
      <sheetName val="K luong"/>
      <sheetName val="VL-NC-M"/>
      <sheetName val="C.tinh DG"/>
      <sheetName val="C.tinh BT"/>
      <sheetName val="Mong"/>
      <sheetName val="Bu VL"/>
      <sheetName val="V.C ngoai tuyen"/>
      <sheetName val="Trung chuyen"/>
      <sheetName val="V.C noi tuyen"/>
      <sheetName val="Cu lyVC noi tuyen"/>
      <sheetName val="CT-6"/>
      <sheetName val="CT-Tram"/>
      <sheetName val="TH-Tram"/>
      <sheetName val="TH-Cto"/>
      <sheetName val="TBA 35-Ldat"/>
      <sheetName val="TDT35TBA"/>
      <sheetName val="TDT-tram"/>
      <sheetName val="TDT-Cto"/>
      <sheetName val="TDT6DDK+TBA"/>
      <sheetName val="DG-Khao sat"/>
      <sheetName val="CT-Tuvan"/>
      <sheetName val="Chi tiet Vc"/>
      <sheetName val="Khoi luong van chuyen "/>
      <sheetName val="TONGDUTOAN"/>
      <sheetName val="Khao Sat"/>
      <sheetName val="ThuyetMinhDT"/>
      <sheetName val="VVVVVVVa"/>
      <sheetName val="sent to"/>
      <sheetName val="KL Tram Cty"/>
      <sheetName val="Gam may Cty"/>
      <sheetName val="KL tram KH"/>
      <sheetName val="Gam may KH"/>
      <sheetName val="Cach dien"/>
      <sheetName val="Mang tai"/>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KHTC 2004 "/>
      <sheetName val="Bao cao Quy"/>
      <sheetName val="Bao cao thuc hien KH"/>
      <sheetName val="CP thang 10"/>
      <sheetName val="Gia thanh Sx"/>
      <sheetName val="KH thang 9+10"/>
      <sheetName val="KH tu 15-08"/>
      <sheetName val="KH TC -2 Da nop Cty"/>
      <sheetName val="KH TC T8"/>
      <sheetName val="00000007"/>
      <sheetName val="BC ton quy"/>
      <sheetName val="Chi NH"/>
      <sheetName val="TT CAT KCN"/>
      <sheetName val="Chi KHAC"/>
      <sheetName val="THU BaNNHA"/>
      <sheetName val="THU KHAC"/>
      <sheetName val="TH"/>
      <sheetName val="Dot 2 (2)"/>
      <sheetName val="Lai qua han"/>
      <sheetName val="Lai QH 18-3"/>
      <sheetName val="TBao 1"/>
      <sheetName val="TBao 2"/>
      <sheetName val="TH Dot 1 SUA"/>
      <sheetName val="Dot 1 goc"/>
      <sheetName val="Dienthoai 1 Thi"/>
      <sheetName val="Dot 1 chuan"/>
      <sheetName val="TH Dot 2 SUA"/>
      <sheetName val="Nha tho 1"/>
      <sheetName val="Dienthoai 1"/>
      <sheetName val="Nha tho"/>
      <sheetName val="Dienthoai 2"/>
      <sheetName val="Nha tho 1 (2)"/>
      <sheetName val="Mat Bang - HD"/>
      <sheetName val="Lai QH 25-5"/>
      <sheetName val="Dot 2 chuan"/>
      <sheetName val="Dienthoai 2 Thi"/>
      <sheetName val="TH Dot 1 Thi"/>
      <sheetName val="TH Dot 2 Thi"/>
      <sheetName val="TB Noptien D2"/>
      <sheetName val="Dot 2 theo PT"/>
      <sheetName val="ket cau"/>
      <sheetName val="BKBL"/>
      <sheetName val="DG"/>
      <sheetName val="SLX"/>
      <sheetName val="SLN"/>
      <sheetName val="SL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t gso 2006-2010"/>
      <sheetName val="NSNNTPCP2006-2010 "/>
      <sheetName val="dt gso 2011-2015"/>
      <sheetName val="NSNNTPCP2011-2015"/>
      <sheetName val="NSNNTPCP5namgoc"/>
      <sheetName val="NSNN2006-2010"/>
      <sheetName val="TPCP2006-2010 "/>
      <sheetName val="TPCP2006-2010  (2)"/>
      <sheetName val="NSNN2011-2015"/>
      <sheetName val="TPCP2011-2015"/>
      <sheetName val="cc2006-2010"/>
      <sheetName val="NSNN2006-2010 (2)"/>
      <sheetName val="cc2011-2015"/>
      <sheetName val="cc2006-2010 (2)"/>
      <sheetName val="cc2006"/>
      <sheetName val="cc2011"/>
      <sheetName val="cc2010"/>
      <sheetName val="cc2009"/>
      <sheetName val="cc2008"/>
      <sheetName val="cc2007"/>
    </sheetNames>
    <sheetDataSet>
      <sheetData sheetId="10">
        <row r="14">
          <cell r="I14">
            <v>880</v>
          </cell>
        </row>
        <row r="15">
          <cell r="I15">
            <v>141425.55204045697</v>
          </cell>
        </row>
        <row r="32">
          <cell r="I32">
            <v>1.5110423605690986</v>
          </cell>
        </row>
        <row r="69">
          <cell r="I69">
            <v>21.011163782392615</v>
          </cell>
        </row>
        <row r="101">
          <cell r="I101">
            <v>22.87292299538776</v>
          </cell>
        </row>
        <row r="117">
          <cell r="I117">
            <v>1.1020520368010418</v>
          </cell>
        </row>
        <row r="126">
          <cell r="I126">
            <v>0.7774754214980679</v>
          </cell>
        </row>
        <row r="138">
          <cell r="I138">
            <v>3.9664645518173423</v>
          </cell>
        </row>
        <row r="153">
          <cell r="I153">
            <v>3.549358604281097</v>
          </cell>
        </row>
        <row r="162">
          <cell r="I162">
            <v>2.0889452077367694</v>
          </cell>
        </row>
        <row r="190">
          <cell r="I190">
            <v>17.562385044037015</v>
          </cell>
        </row>
        <row r="212">
          <cell r="I212">
            <v>5.669818776670653</v>
          </cell>
        </row>
        <row r="236">
          <cell r="I236">
            <v>3.861700500693786</v>
          </cell>
        </row>
        <row r="270">
          <cell r="I270">
            <v>2.7576199135928907</v>
          </cell>
        </row>
        <row r="275">
          <cell r="I275">
            <v>0.7702240613617725</v>
          </cell>
        </row>
        <row r="294">
          <cell r="I294">
            <v>7.96937650762732</v>
          </cell>
        </row>
        <row r="302">
          <cell r="I302">
            <v>3.2779083645887823</v>
          </cell>
        </row>
        <row r="310">
          <cell r="I310">
            <v>1.251541870943989</v>
          </cell>
        </row>
        <row r="311">
          <cell r="D311">
            <v>943</v>
          </cell>
          <cell r="E311">
            <v>889.56</v>
          </cell>
          <cell r="F311">
            <v>477</v>
          </cell>
          <cell r="G311">
            <v>191.2</v>
          </cell>
          <cell r="H311">
            <v>482.2</v>
          </cell>
          <cell r="I311">
            <v>494.5</v>
          </cell>
        </row>
      </sheetData>
      <sheetData sheetId="14">
        <row r="7">
          <cell r="C7">
            <v>100</v>
          </cell>
        </row>
        <row r="8">
          <cell r="C8">
            <v>20</v>
          </cell>
        </row>
        <row r="9">
          <cell r="C9">
            <v>300</v>
          </cell>
        </row>
        <row r="10">
          <cell r="C10">
            <v>2000</v>
          </cell>
        </row>
        <row r="11">
          <cell r="C11">
            <v>150</v>
          </cell>
        </row>
      </sheetData>
      <sheetData sheetId="15">
        <row r="5">
          <cell r="H5">
            <v>152000.05204045697</v>
          </cell>
        </row>
        <row r="6">
          <cell r="H6">
            <v>10080</v>
          </cell>
        </row>
        <row r="7">
          <cell r="H7">
            <v>180</v>
          </cell>
        </row>
        <row r="8">
          <cell r="H8">
            <v>200</v>
          </cell>
        </row>
        <row r="9">
          <cell r="H9">
            <v>4500</v>
          </cell>
        </row>
        <row r="10">
          <cell r="H10">
            <v>3500</v>
          </cell>
        </row>
        <row r="11">
          <cell r="H11">
            <v>820</v>
          </cell>
        </row>
        <row r="12">
          <cell r="H12">
            <v>880</v>
          </cell>
        </row>
      </sheetData>
      <sheetData sheetId="16">
        <row r="8">
          <cell r="H8">
            <v>200</v>
          </cell>
        </row>
        <row r="9">
          <cell r="H9">
            <v>200</v>
          </cell>
        </row>
        <row r="10">
          <cell r="H10">
            <v>3700</v>
          </cell>
        </row>
        <row r="11">
          <cell r="H11">
            <v>3500</v>
          </cell>
        </row>
        <row r="12">
          <cell r="H12">
            <v>300</v>
          </cell>
        </row>
        <row r="13">
          <cell r="H13">
            <v>800</v>
          </cell>
        </row>
        <row r="154">
          <cell r="C154">
            <v>5678.5351351351355</v>
          </cell>
        </row>
        <row r="170">
          <cell r="C170">
            <v>3495.644123500466</v>
          </cell>
        </row>
        <row r="192">
          <cell r="H192">
            <v>3696.5592327232416</v>
          </cell>
        </row>
        <row r="211">
          <cell r="H211">
            <v>825.9747553902912</v>
          </cell>
        </row>
      </sheetData>
      <sheetData sheetId="17">
        <row r="8">
          <cell r="C8">
            <v>200</v>
          </cell>
        </row>
        <row r="9">
          <cell r="C9">
            <v>200</v>
          </cell>
        </row>
        <row r="10">
          <cell r="C10">
            <v>3700</v>
          </cell>
        </row>
        <row r="11">
          <cell r="C11">
            <v>4900</v>
          </cell>
        </row>
        <row r="12">
          <cell r="C12">
            <v>160</v>
          </cell>
        </row>
        <row r="13">
          <cell r="C13">
            <v>800</v>
          </cell>
        </row>
      </sheetData>
      <sheetData sheetId="18">
        <row r="8">
          <cell r="C8">
            <v>200</v>
          </cell>
        </row>
        <row r="9">
          <cell r="C9">
            <v>200</v>
          </cell>
        </row>
        <row r="10">
          <cell r="C10">
            <v>2300</v>
          </cell>
        </row>
        <row r="11">
          <cell r="C11">
            <v>120</v>
          </cell>
        </row>
        <row r="12">
          <cell r="C12">
            <v>600</v>
          </cell>
        </row>
      </sheetData>
      <sheetData sheetId="19">
        <row r="8">
          <cell r="C8">
            <v>220</v>
          </cell>
        </row>
        <row r="9">
          <cell r="C9">
            <v>200</v>
          </cell>
        </row>
        <row r="10">
          <cell r="C10">
            <v>2500</v>
          </cell>
        </row>
        <row r="12">
          <cell r="C12">
            <v>1000</v>
          </cell>
        </row>
        <row r="13">
          <cell r="C13">
            <v>100</v>
          </cell>
        </row>
        <row r="244">
          <cell r="C244">
            <v>207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M1-CTTH"/>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6.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43"/>
  <sheetViews>
    <sheetView zoomScalePageLayoutView="0" workbookViewId="0" topLeftCell="A1">
      <selection activeCell="J43" sqref="J43"/>
    </sheetView>
  </sheetViews>
  <sheetFormatPr defaultColWidth="9.140625" defaultRowHeight="12.75"/>
  <cols>
    <col min="1" max="1" width="5.140625" style="38" customWidth="1"/>
    <col min="2" max="2" width="43.140625" style="38" customWidth="1"/>
    <col min="3" max="3" width="11.8515625" style="38" customWidth="1"/>
    <col min="4" max="4" width="15.140625" style="40" customWidth="1"/>
    <col min="5" max="5" width="10.8515625" style="40" hidden="1" customWidth="1"/>
    <col min="6" max="7" width="10.8515625" style="38" hidden="1" customWidth="1"/>
    <col min="8" max="8" width="12.140625" style="38" hidden="1" customWidth="1"/>
    <col min="9" max="9" width="20.421875" style="38" customWidth="1"/>
    <col min="10" max="10" width="15.140625" style="38" customWidth="1"/>
    <col min="11" max="11" width="14.8515625" style="38" customWidth="1"/>
    <col min="12" max="12" width="16.8515625" style="38" customWidth="1"/>
    <col min="13" max="16384" width="9.140625" style="38" customWidth="1"/>
  </cols>
  <sheetData>
    <row r="1" spans="1:12" ht="36" customHeight="1">
      <c r="A1" s="1263" t="s">
        <v>130</v>
      </c>
      <c r="B1" s="1263"/>
      <c r="C1" s="1263"/>
      <c r="D1" s="1263"/>
      <c r="E1" s="1263"/>
      <c r="F1" s="1263"/>
      <c r="G1" s="1263"/>
      <c r="H1" s="1263"/>
      <c r="I1" s="1263"/>
      <c r="J1" s="1263"/>
      <c r="K1" s="1263"/>
      <c r="L1" s="1263"/>
    </row>
    <row r="2" spans="1:12" ht="27.75" customHeight="1">
      <c r="A2" s="1264" t="s">
        <v>100</v>
      </c>
      <c r="B2" s="1264"/>
      <c r="C2" s="1264"/>
      <c r="D2" s="1264"/>
      <c r="E2" s="1264"/>
      <c r="F2" s="1264"/>
      <c r="G2" s="1264"/>
      <c r="H2" s="1264"/>
      <c r="I2" s="1264"/>
      <c r="J2" s="1264"/>
      <c r="K2" s="1264"/>
      <c r="L2" s="1264"/>
    </row>
    <row r="3" spans="1:12" ht="13.5" thickBot="1">
      <c r="A3" s="56"/>
      <c r="B3" s="56"/>
      <c r="C3" s="56"/>
      <c r="D3" s="57"/>
      <c r="E3" s="57"/>
      <c r="F3" s="39"/>
      <c r="G3" s="39"/>
      <c r="H3" s="39"/>
      <c r="I3" s="57"/>
      <c r="J3" s="56"/>
      <c r="K3" s="56"/>
      <c r="L3" s="56"/>
    </row>
    <row r="4" spans="1:12" s="44" customFormat="1" ht="32.25" customHeight="1" thickTop="1">
      <c r="A4" s="1265" t="s">
        <v>0</v>
      </c>
      <c r="B4" s="1265" t="s">
        <v>19</v>
      </c>
      <c r="C4" s="1265" t="s">
        <v>20</v>
      </c>
      <c r="D4" s="1267" t="s">
        <v>21</v>
      </c>
      <c r="E4" s="1267" t="s">
        <v>98</v>
      </c>
      <c r="F4" s="1267" t="s">
        <v>22</v>
      </c>
      <c r="G4" s="1267" t="s">
        <v>23</v>
      </c>
      <c r="H4" s="1267" t="s">
        <v>24</v>
      </c>
      <c r="I4" s="1267" t="s">
        <v>124</v>
      </c>
      <c r="J4" s="1269" t="s">
        <v>95</v>
      </c>
      <c r="K4" s="1270"/>
      <c r="L4" s="1265" t="s">
        <v>25</v>
      </c>
    </row>
    <row r="5" spans="1:12" s="44" customFormat="1" ht="21" customHeight="1">
      <c r="A5" s="1266"/>
      <c r="B5" s="1266"/>
      <c r="C5" s="1266"/>
      <c r="D5" s="1268"/>
      <c r="E5" s="1268"/>
      <c r="F5" s="1268"/>
      <c r="G5" s="1268"/>
      <c r="H5" s="1268"/>
      <c r="I5" s="1268"/>
      <c r="J5" s="58">
        <v>2009</v>
      </c>
      <c r="K5" s="58">
        <v>2010</v>
      </c>
      <c r="L5" s="1266"/>
    </row>
    <row r="6" spans="1:12" s="44" customFormat="1" ht="30" customHeight="1">
      <c r="A6" s="45" t="s">
        <v>26</v>
      </c>
      <c r="B6" s="46" t="s">
        <v>27</v>
      </c>
      <c r="C6" s="45"/>
      <c r="D6" s="47"/>
      <c r="E6" s="47"/>
      <c r="F6" s="45"/>
      <c r="G6" s="45"/>
      <c r="H6" s="45">
        <v>6.2</v>
      </c>
      <c r="I6" s="45"/>
      <c r="J6" s="45"/>
      <c r="K6" s="45"/>
      <c r="L6" s="45"/>
    </row>
    <row r="7" spans="1:12" s="44" customFormat="1" ht="48" customHeight="1">
      <c r="A7" s="48">
        <v>1</v>
      </c>
      <c r="B7" s="49" t="s">
        <v>28</v>
      </c>
      <c r="C7" s="48" t="s">
        <v>5</v>
      </c>
      <c r="D7" s="50" t="s">
        <v>29</v>
      </c>
      <c r="E7" s="64" t="e">
        <f>#REF!</f>
        <v>#REF!</v>
      </c>
      <c r="F7" s="64" t="e">
        <f>#REF!</f>
        <v>#REF!</v>
      </c>
      <c r="G7" s="64" t="e">
        <f>#REF!</f>
        <v>#REF!</v>
      </c>
      <c r="H7" s="64" t="e">
        <f>#REF!</f>
        <v>#REF!</v>
      </c>
      <c r="I7" s="68" t="e">
        <f>#REF!</f>
        <v>#REF!</v>
      </c>
      <c r="J7" s="51" t="e">
        <f>#REF!</f>
        <v>#REF!</v>
      </c>
      <c r="K7" s="51">
        <v>7</v>
      </c>
      <c r="L7" s="48" t="s">
        <v>126</v>
      </c>
    </row>
    <row r="8" spans="1:12" s="44" customFormat="1" ht="36" customHeight="1">
      <c r="A8" s="48">
        <v>2</v>
      </c>
      <c r="B8" s="49" t="s">
        <v>31</v>
      </c>
      <c r="C8" s="48" t="s">
        <v>32</v>
      </c>
      <c r="D8" s="50" t="s">
        <v>33</v>
      </c>
      <c r="E8" s="50"/>
      <c r="F8" s="52">
        <v>425373</v>
      </c>
      <c r="G8" s="52">
        <v>461443</v>
      </c>
      <c r="H8" s="48" t="s">
        <v>34</v>
      </c>
      <c r="I8" s="48" t="s">
        <v>96</v>
      </c>
      <c r="J8" s="52" t="s">
        <v>97</v>
      </c>
      <c r="K8" s="52" t="s">
        <v>127</v>
      </c>
      <c r="L8" s="48" t="s">
        <v>30</v>
      </c>
    </row>
    <row r="9" spans="1:12" s="44" customFormat="1" ht="24.75" customHeight="1">
      <c r="A9" s="48">
        <v>3</v>
      </c>
      <c r="B9" s="49" t="s">
        <v>35</v>
      </c>
      <c r="C9" s="48" t="s">
        <v>10</v>
      </c>
      <c r="D9" s="50" t="e">
        <f>#REF!</f>
        <v>#REF!</v>
      </c>
      <c r="E9" s="50" t="e">
        <f>#REF!</f>
        <v>#REF!</v>
      </c>
      <c r="F9" s="50" t="e">
        <f>#REF!</f>
        <v>#REF!</v>
      </c>
      <c r="G9" s="50" t="e">
        <f>#REF!</f>
        <v>#REF!</v>
      </c>
      <c r="H9" s="50" t="e">
        <f>#REF!</f>
        <v>#REF!</v>
      </c>
      <c r="I9" s="50" t="e">
        <f>#REF!</f>
        <v>#REF!</v>
      </c>
      <c r="J9" s="52" t="e">
        <f>#REF!</f>
        <v>#REF!</v>
      </c>
      <c r="K9" s="52">
        <v>1380</v>
      </c>
      <c r="L9" s="48" t="s">
        <v>78</v>
      </c>
    </row>
    <row r="10" spans="1:12" s="44" customFormat="1" ht="24.75" customHeight="1">
      <c r="A10" s="48">
        <v>4</v>
      </c>
      <c r="B10" s="49" t="s">
        <v>37</v>
      </c>
      <c r="C10" s="48" t="s">
        <v>5</v>
      </c>
      <c r="D10" s="50" t="e">
        <f>#REF!</f>
        <v>#REF!</v>
      </c>
      <c r="E10" s="50" t="e">
        <f>#REF!</f>
        <v>#REF!</v>
      </c>
      <c r="F10" s="50" t="e">
        <f>#REF!</f>
        <v>#REF!</v>
      </c>
      <c r="G10" s="50" t="e">
        <f>#REF!</f>
        <v>#REF!</v>
      </c>
      <c r="H10" s="50" t="e">
        <f>#REF!</f>
        <v>#REF!</v>
      </c>
      <c r="I10" s="66" t="e">
        <f>#REF!</f>
        <v>#REF!</v>
      </c>
      <c r="J10" s="51" t="e">
        <f>#REF!</f>
        <v>#REF!</v>
      </c>
      <c r="K10" s="51">
        <v>3.5</v>
      </c>
      <c r="L10" s="48" t="s">
        <v>78</v>
      </c>
    </row>
    <row r="11" spans="1:12" s="44" customFormat="1" ht="24.75" customHeight="1">
      <c r="A11" s="48">
        <v>5</v>
      </c>
      <c r="B11" s="49" t="s">
        <v>38</v>
      </c>
      <c r="C11" s="48" t="s">
        <v>5</v>
      </c>
      <c r="D11" s="50" t="e">
        <f>#REF!</f>
        <v>#REF!</v>
      </c>
      <c r="E11" s="50" t="e">
        <f>#REF!</f>
        <v>#REF!</v>
      </c>
      <c r="F11" s="50" t="e">
        <f>#REF!</f>
        <v>#REF!</v>
      </c>
      <c r="G11" s="50" t="e">
        <f>#REF!</f>
        <v>#REF!</v>
      </c>
      <c r="H11" s="50" t="e">
        <f>#REF!</f>
        <v>#REF!</v>
      </c>
      <c r="I11" s="66" t="e">
        <f>#REF!</f>
        <v>#REF!</v>
      </c>
      <c r="J11" s="51" t="e">
        <f>#REF!</f>
        <v>#REF!</v>
      </c>
      <c r="K11" s="51">
        <v>8</v>
      </c>
      <c r="L11" s="48" t="s">
        <v>126</v>
      </c>
    </row>
    <row r="12" spans="1:12" s="44" customFormat="1" ht="24.75" customHeight="1">
      <c r="A12" s="48">
        <v>6</v>
      </c>
      <c r="B12" s="49" t="s">
        <v>39</v>
      </c>
      <c r="C12" s="48" t="s">
        <v>5</v>
      </c>
      <c r="D12" s="50" t="e">
        <f>#REF!</f>
        <v>#REF!</v>
      </c>
      <c r="E12" s="50" t="e">
        <f>#REF!</f>
        <v>#REF!</v>
      </c>
      <c r="F12" s="50" t="e">
        <f>#REF!</f>
        <v>#REF!</v>
      </c>
      <c r="G12" s="50" t="e">
        <f>#REF!</f>
        <v>#REF!</v>
      </c>
      <c r="H12" s="50" t="e">
        <f>#REF!</f>
        <v>#REF!</v>
      </c>
      <c r="I12" s="66" t="e">
        <f>#REF!</f>
        <v>#REF!</v>
      </c>
      <c r="J12" s="51" t="e">
        <f>#REF!</f>
        <v>#REF!</v>
      </c>
      <c r="K12" s="48">
        <v>7.8</v>
      </c>
      <c r="L12" s="48" t="s">
        <v>36</v>
      </c>
    </row>
    <row r="13" spans="1:12" s="44" customFormat="1" ht="24.75" customHeight="1">
      <c r="A13" s="48">
        <v>7</v>
      </c>
      <c r="B13" s="49" t="s">
        <v>40</v>
      </c>
      <c r="C13" s="48"/>
      <c r="D13" s="50"/>
      <c r="E13" s="50"/>
      <c r="F13" s="48"/>
      <c r="G13" s="48"/>
      <c r="H13" s="48"/>
      <c r="I13" s="48"/>
      <c r="J13" s="48"/>
      <c r="K13" s="48"/>
      <c r="L13" s="48"/>
    </row>
    <row r="14" spans="1:12" s="44" customFormat="1" ht="24.75" customHeight="1">
      <c r="A14" s="48"/>
      <c r="B14" s="49" t="s">
        <v>41</v>
      </c>
      <c r="C14" s="48" t="s">
        <v>5</v>
      </c>
      <c r="D14" s="50" t="e">
        <f>#REF!</f>
        <v>#REF!</v>
      </c>
      <c r="E14" s="50" t="e">
        <f>#REF!</f>
        <v>#REF!</v>
      </c>
      <c r="F14" s="50" t="e">
        <f>#REF!</f>
        <v>#REF!</v>
      </c>
      <c r="G14" s="50" t="e">
        <f>#REF!</f>
        <v>#REF!</v>
      </c>
      <c r="H14" s="50" t="e">
        <f>#REF!</f>
        <v>#REF!</v>
      </c>
      <c r="I14" s="50" t="e">
        <f>#REF!</f>
        <v>#REF!</v>
      </c>
      <c r="J14" s="124" t="e">
        <f>#REF!</f>
        <v>#REF!</v>
      </c>
      <c r="K14" s="48">
        <v>20</v>
      </c>
      <c r="L14" s="48" t="s">
        <v>42</v>
      </c>
    </row>
    <row r="15" spans="1:12" s="44" customFormat="1" ht="24.75" customHeight="1">
      <c r="A15" s="48"/>
      <c r="B15" s="49" t="s">
        <v>43</v>
      </c>
      <c r="C15" s="48" t="s">
        <v>5</v>
      </c>
      <c r="D15" s="50" t="e">
        <f>#REF!</f>
        <v>#REF!</v>
      </c>
      <c r="E15" s="50" t="e">
        <f>#REF!</f>
        <v>#REF!</v>
      </c>
      <c r="F15" s="50" t="e">
        <f>#REF!</f>
        <v>#REF!</v>
      </c>
      <c r="G15" s="50" t="e">
        <f>#REF!</f>
        <v>#REF!</v>
      </c>
      <c r="H15" s="50" t="e">
        <f>#REF!</f>
        <v>#REF!</v>
      </c>
      <c r="I15" s="50" t="e">
        <f>#REF!</f>
        <v>#REF!</v>
      </c>
      <c r="J15" s="124" t="e">
        <f>#REF!</f>
        <v>#REF!</v>
      </c>
      <c r="K15" s="48">
        <v>40.8</v>
      </c>
      <c r="L15" s="48" t="s">
        <v>42</v>
      </c>
    </row>
    <row r="16" spans="1:12" s="44" customFormat="1" ht="24.75" customHeight="1">
      <c r="A16" s="48"/>
      <c r="B16" s="49" t="s">
        <v>44</v>
      </c>
      <c r="C16" s="48" t="s">
        <v>5</v>
      </c>
      <c r="D16" s="50" t="e">
        <f>#REF!</f>
        <v>#REF!</v>
      </c>
      <c r="E16" s="50" t="e">
        <f>#REF!</f>
        <v>#REF!</v>
      </c>
      <c r="F16" s="50" t="e">
        <f>#REF!</f>
        <v>#REF!</v>
      </c>
      <c r="G16" s="50" t="e">
        <f>#REF!</f>
        <v>#REF!</v>
      </c>
      <c r="H16" s="50" t="e">
        <f>#REF!</f>
        <v>#REF!</v>
      </c>
      <c r="I16" s="50" t="e">
        <f>#REF!</f>
        <v>#REF!</v>
      </c>
      <c r="J16" s="124" t="e">
        <f>#REF!</f>
        <v>#REF!</v>
      </c>
      <c r="K16" s="48">
        <v>40.5</v>
      </c>
      <c r="L16" s="48" t="s">
        <v>30</v>
      </c>
    </row>
    <row r="17" spans="1:15" s="44" customFormat="1" ht="32.25" customHeight="1">
      <c r="A17" s="48">
        <v>8</v>
      </c>
      <c r="B17" s="49" t="s">
        <v>45</v>
      </c>
      <c r="C17" s="48" t="s">
        <v>5</v>
      </c>
      <c r="D17" s="50" t="e">
        <f>#REF!</f>
        <v>#REF!</v>
      </c>
      <c r="E17" s="50" t="e">
        <f>#REF!</f>
        <v>#REF!</v>
      </c>
      <c r="F17" s="50" t="e">
        <f>#REF!</f>
        <v>#REF!</v>
      </c>
      <c r="G17" s="50" t="e">
        <f>#REF!</f>
        <v>#REF!</v>
      </c>
      <c r="H17" s="60" t="e">
        <f>#REF!</f>
        <v>#REF!</v>
      </c>
      <c r="I17" s="60" t="e">
        <f>#REF!</f>
        <v>#REF!</v>
      </c>
      <c r="J17" s="51" t="e">
        <f>#REF!</f>
        <v>#REF!</v>
      </c>
      <c r="K17" s="48">
        <v>20</v>
      </c>
      <c r="L17" s="48" t="s">
        <v>78</v>
      </c>
      <c r="O17" s="116"/>
    </row>
    <row r="18" spans="1:12" s="44" customFormat="1" ht="33" customHeight="1">
      <c r="A18" s="48">
        <v>9</v>
      </c>
      <c r="B18" s="49" t="s">
        <v>47</v>
      </c>
      <c r="C18" s="48" t="s">
        <v>5</v>
      </c>
      <c r="D18" s="50" t="e">
        <f>#REF!</f>
        <v>#REF!</v>
      </c>
      <c r="E18" s="50" t="e">
        <f>#REF!</f>
        <v>#REF!</v>
      </c>
      <c r="F18" s="50" t="e">
        <f>#REF!</f>
        <v>#REF!</v>
      </c>
      <c r="G18" s="50" t="e">
        <f>#REF!</f>
        <v>#REF!</v>
      </c>
      <c r="H18" s="50" t="e">
        <f>#REF!</f>
        <v>#REF!</v>
      </c>
      <c r="I18" s="50" t="e">
        <f>#REF!</f>
        <v>#REF!</v>
      </c>
      <c r="J18" s="48" t="e">
        <f>#REF!</f>
        <v>#REF!</v>
      </c>
      <c r="K18" s="48">
        <v>40</v>
      </c>
      <c r="L18" s="48" t="s">
        <v>36</v>
      </c>
    </row>
    <row r="19" spans="1:12" s="44" customFormat="1" ht="35.25" customHeight="1">
      <c r="A19" s="48">
        <v>10</v>
      </c>
      <c r="B19" s="49" t="s">
        <v>49</v>
      </c>
      <c r="C19" s="48" t="s">
        <v>5</v>
      </c>
      <c r="D19" s="50" t="s">
        <v>50</v>
      </c>
      <c r="E19" s="50">
        <v>27.2</v>
      </c>
      <c r="F19" s="48">
        <v>28.7</v>
      </c>
      <c r="G19" s="48">
        <v>27.6</v>
      </c>
      <c r="H19" s="48">
        <v>26.8</v>
      </c>
      <c r="I19" s="51" t="e">
        <f>#REF!</f>
        <v>#REF!</v>
      </c>
      <c r="J19" s="100" t="e">
        <f>#REF!</f>
        <v>#REF!</v>
      </c>
      <c r="K19" s="53">
        <v>23</v>
      </c>
      <c r="L19" s="48" t="s">
        <v>78</v>
      </c>
    </row>
    <row r="20" spans="1:12" s="44" customFormat="1" ht="24.75" customHeight="1">
      <c r="A20" s="48" t="s">
        <v>51</v>
      </c>
      <c r="B20" s="49" t="s">
        <v>52</v>
      </c>
      <c r="C20" s="48"/>
      <c r="D20" s="50"/>
      <c r="E20" s="50"/>
      <c r="F20" s="48"/>
      <c r="G20" s="48"/>
      <c r="H20" s="48"/>
      <c r="I20" s="48"/>
      <c r="J20" s="48"/>
      <c r="K20" s="48"/>
      <c r="L20" s="48"/>
    </row>
    <row r="21" spans="1:12" s="44" customFormat="1" ht="43.5" customHeight="1">
      <c r="A21" s="48">
        <v>11</v>
      </c>
      <c r="B21" s="49" t="s">
        <v>53</v>
      </c>
      <c r="C21" s="48" t="s">
        <v>54</v>
      </c>
      <c r="D21" s="50" t="s">
        <v>55</v>
      </c>
      <c r="E21" s="65" t="e">
        <f>#REF!</f>
        <v>#REF!</v>
      </c>
      <c r="F21" s="65" t="e">
        <f>#REF!</f>
        <v>#REF!</v>
      </c>
      <c r="G21" s="65" t="e">
        <f>#REF!</f>
        <v>#REF!</v>
      </c>
      <c r="H21" s="65" t="e">
        <f>#REF!</f>
        <v>#REF!</v>
      </c>
      <c r="I21" s="65" t="e">
        <f>#REF!</f>
        <v>#REF!</v>
      </c>
      <c r="J21" s="52" t="e">
        <f>#REF!</f>
        <v>#REF!</v>
      </c>
      <c r="K21" s="48" t="s">
        <v>104</v>
      </c>
      <c r="L21" s="48" t="s">
        <v>42</v>
      </c>
    </row>
    <row r="22" spans="1:12" s="44" customFormat="1" ht="30" customHeight="1">
      <c r="A22" s="48">
        <v>12</v>
      </c>
      <c r="B22" s="49" t="s">
        <v>56</v>
      </c>
      <c r="C22" s="48" t="s">
        <v>57</v>
      </c>
      <c r="D22" s="50" t="s">
        <v>58</v>
      </c>
      <c r="E22" s="50"/>
      <c r="F22" s="48">
        <v>183</v>
      </c>
      <c r="G22" s="48" t="s">
        <v>59</v>
      </c>
      <c r="H22" s="48" t="s">
        <v>60</v>
      </c>
      <c r="I22" s="117" t="e">
        <f>#REF!</f>
        <v>#REF!</v>
      </c>
      <c r="J22" s="48">
        <v>196</v>
      </c>
      <c r="K22" s="48">
        <v>204</v>
      </c>
      <c r="L22" s="48" t="s">
        <v>30</v>
      </c>
    </row>
    <row r="23" spans="1:12" s="44" customFormat="1" ht="28.5" customHeight="1">
      <c r="A23" s="48">
        <v>13</v>
      </c>
      <c r="B23" s="49" t="s">
        <v>61</v>
      </c>
      <c r="C23" s="48" t="s">
        <v>5</v>
      </c>
      <c r="D23" s="50" t="s">
        <v>48</v>
      </c>
      <c r="E23" s="50"/>
      <c r="F23" s="48">
        <v>27.8</v>
      </c>
      <c r="G23" s="48" t="s">
        <v>62</v>
      </c>
      <c r="H23" s="48" t="s">
        <v>63</v>
      </c>
      <c r="I23" s="51" t="str">
        <f>H23</f>
        <v>37</v>
      </c>
      <c r="J23" s="48">
        <v>40</v>
      </c>
      <c r="K23" s="48">
        <v>43</v>
      </c>
      <c r="L23" s="48" t="s">
        <v>36</v>
      </c>
    </row>
    <row r="24" spans="1:12" s="44" customFormat="1" ht="34.5" customHeight="1">
      <c r="A24" s="48">
        <v>14</v>
      </c>
      <c r="B24" s="49" t="s">
        <v>75</v>
      </c>
      <c r="C24" s="48" t="s">
        <v>5</v>
      </c>
      <c r="D24" s="50" t="s">
        <v>76</v>
      </c>
      <c r="E24" s="50"/>
      <c r="F24" s="48">
        <v>8.47</v>
      </c>
      <c r="G24" s="48">
        <v>21.5</v>
      </c>
      <c r="H24" s="48">
        <v>12.4</v>
      </c>
      <c r="I24" s="118" t="s">
        <v>128</v>
      </c>
      <c r="J24" s="48">
        <v>18</v>
      </c>
      <c r="K24" s="48"/>
      <c r="L24" s="48" t="s">
        <v>78</v>
      </c>
    </row>
    <row r="25" spans="1:12" s="44" customFormat="1" ht="24.75" customHeight="1">
      <c r="A25" s="48">
        <v>15</v>
      </c>
      <c r="B25" s="49" t="s">
        <v>64</v>
      </c>
      <c r="C25" s="48" t="s">
        <v>5</v>
      </c>
      <c r="D25" s="64" t="e">
        <f>#REF!</f>
        <v>#REF!</v>
      </c>
      <c r="E25" s="64" t="e">
        <f>#REF!</f>
        <v>#REF!</v>
      </c>
      <c r="F25" s="64" t="e">
        <f>#REF!</f>
        <v>#REF!</v>
      </c>
      <c r="G25" s="64" t="e">
        <f>#REF!</f>
        <v>#REF!</v>
      </c>
      <c r="H25" s="64" t="e">
        <f>#REF!</f>
        <v>#REF!</v>
      </c>
      <c r="I25" s="64" t="e">
        <f>#REF!</f>
        <v>#REF!</v>
      </c>
      <c r="J25" s="124" t="e">
        <f>#REF!</f>
        <v>#REF!</v>
      </c>
      <c r="K25" s="48">
        <v>1.16</v>
      </c>
      <c r="L25" s="48" t="s">
        <v>42</v>
      </c>
    </row>
    <row r="26" spans="1:12" s="44" customFormat="1" ht="24.75" customHeight="1">
      <c r="A26" s="48">
        <v>16</v>
      </c>
      <c r="B26" s="49" t="s">
        <v>65</v>
      </c>
      <c r="C26" s="48" t="s">
        <v>66</v>
      </c>
      <c r="D26" s="50" t="s">
        <v>103</v>
      </c>
      <c r="E26" s="50" t="e">
        <f>#REF!</f>
        <v>#REF!</v>
      </c>
      <c r="F26" s="50" t="e">
        <f>#REF!</f>
        <v>#REF!</v>
      </c>
      <c r="G26" s="50" t="e">
        <f>#REF!</f>
        <v>#REF!</v>
      </c>
      <c r="H26" s="50" t="e">
        <f>#REF!</f>
        <v>#REF!</v>
      </c>
      <c r="I26" s="50" t="e">
        <f>#REF!</f>
        <v>#REF!</v>
      </c>
      <c r="J26" s="48" t="e">
        <f>#REF!</f>
        <v>#REF!</v>
      </c>
      <c r="K26" s="48">
        <v>1.8</v>
      </c>
      <c r="L26" s="48" t="s">
        <v>78</v>
      </c>
    </row>
    <row r="27" spans="1:12" s="44" customFormat="1" ht="24.75" customHeight="1">
      <c r="A27" s="48">
        <v>17</v>
      </c>
      <c r="B27" s="49" t="s">
        <v>67</v>
      </c>
      <c r="C27" s="48" t="s">
        <v>5</v>
      </c>
      <c r="D27" s="64" t="e">
        <f>#REF!</f>
        <v>#REF!</v>
      </c>
      <c r="E27" s="64" t="e">
        <f>#REF!</f>
        <v>#REF!</v>
      </c>
      <c r="F27" s="64" t="e">
        <f>#REF!</f>
        <v>#REF!</v>
      </c>
      <c r="G27" s="64" t="e">
        <f>#REF!</f>
        <v>#REF!</v>
      </c>
      <c r="H27" s="64" t="e">
        <f>#REF!</f>
        <v>#REF!</v>
      </c>
      <c r="I27" s="64" t="e">
        <f>#REF!</f>
        <v>#REF!</v>
      </c>
      <c r="J27" s="124" t="e">
        <f>#REF!</f>
        <v>#REF!</v>
      </c>
      <c r="K27" s="48" t="s">
        <v>125</v>
      </c>
      <c r="L27" s="48" t="s">
        <v>78</v>
      </c>
    </row>
    <row r="28" spans="1:12" s="44" customFormat="1" ht="51" customHeight="1">
      <c r="A28" s="48">
        <v>18</v>
      </c>
      <c r="B28" s="49" t="s">
        <v>68</v>
      </c>
      <c r="C28" s="48" t="s">
        <v>5</v>
      </c>
      <c r="D28" s="50" t="e">
        <f>#REF!</f>
        <v>#REF!</v>
      </c>
      <c r="E28" s="50" t="e">
        <f>#REF!</f>
        <v>#REF!</v>
      </c>
      <c r="F28" s="50" t="e">
        <f>#REF!</f>
        <v>#REF!</v>
      </c>
      <c r="G28" s="50" t="e">
        <f>#REF!</f>
        <v>#REF!</v>
      </c>
      <c r="H28" s="50" t="e">
        <f>#REF!</f>
        <v>#REF!</v>
      </c>
      <c r="I28" s="66" t="e">
        <f>#REF!</f>
        <v>#REF!</v>
      </c>
      <c r="J28" s="66" t="e">
        <f>#REF!</f>
        <v>#REF!</v>
      </c>
      <c r="K28" s="48"/>
      <c r="L28" s="48" t="s">
        <v>30</v>
      </c>
    </row>
    <row r="29" spans="1:12" s="44" customFormat="1" ht="24.75" customHeight="1">
      <c r="A29" s="48">
        <v>19</v>
      </c>
      <c r="B29" s="49" t="s">
        <v>69</v>
      </c>
      <c r="C29" s="48" t="s">
        <v>70</v>
      </c>
      <c r="D29" s="50" t="s">
        <v>71</v>
      </c>
      <c r="E29" s="50"/>
      <c r="F29" s="48" t="s">
        <v>72</v>
      </c>
      <c r="G29" s="48" t="s">
        <v>72</v>
      </c>
      <c r="H29" s="54">
        <v>71.7</v>
      </c>
      <c r="I29" s="51">
        <f>H29</f>
        <v>71.7</v>
      </c>
      <c r="J29" s="48" t="s">
        <v>71</v>
      </c>
      <c r="K29" s="48"/>
      <c r="L29" s="48" t="s">
        <v>36</v>
      </c>
    </row>
    <row r="30" spans="1:12" s="44" customFormat="1" ht="33" customHeight="1">
      <c r="A30" s="1262" t="s">
        <v>129</v>
      </c>
      <c r="B30" s="1262"/>
      <c r="C30" s="1262"/>
      <c r="D30" s="1262"/>
      <c r="E30" s="1262"/>
      <c r="F30" s="1262"/>
      <c r="G30" s="1262"/>
      <c r="H30" s="1262"/>
      <c r="I30" s="1262"/>
      <c r="J30" s="1262"/>
      <c r="K30" s="1262"/>
      <c r="L30" s="1262"/>
    </row>
    <row r="31" spans="1:12" s="44" customFormat="1" ht="36.75" customHeight="1">
      <c r="A31" s="45">
        <v>20</v>
      </c>
      <c r="B31" s="46" t="s">
        <v>73</v>
      </c>
      <c r="C31" s="45" t="s">
        <v>5</v>
      </c>
      <c r="D31" s="47">
        <v>15</v>
      </c>
      <c r="E31" s="47"/>
      <c r="F31" s="45" t="s">
        <v>74</v>
      </c>
      <c r="G31" s="45">
        <v>20.8</v>
      </c>
      <c r="H31" s="45" t="s">
        <v>46</v>
      </c>
      <c r="I31" s="119">
        <f>(F31+G31+H31)/3</f>
        <v>16.733333333333334</v>
      </c>
      <c r="J31" s="45">
        <v>17</v>
      </c>
      <c r="K31" s="45">
        <v>18.5</v>
      </c>
      <c r="L31" s="45" t="s">
        <v>78</v>
      </c>
    </row>
    <row r="32" spans="1:12" s="44" customFormat="1" ht="32.25" customHeight="1">
      <c r="A32" s="48">
        <v>21</v>
      </c>
      <c r="B32" s="49" t="s">
        <v>77</v>
      </c>
      <c r="C32" s="48" t="s">
        <v>14</v>
      </c>
      <c r="D32" s="68" t="e">
        <f>#REF!</f>
        <v>#REF!</v>
      </c>
      <c r="E32" s="68" t="e">
        <f>#REF!</f>
        <v>#REF!</v>
      </c>
      <c r="F32" s="68" t="e">
        <f>#REF!</f>
        <v>#REF!</v>
      </c>
      <c r="G32" s="68" t="e">
        <f>#REF!</f>
        <v>#REF!</v>
      </c>
      <c r="H32" s="68" t="e">
        <f>#REF!</f>
        <v>#REF!</v>
      </c>
      <c r="I32" s="68" t="e">
        <f>#REF!</f>
        <v>#REF!</v>
      </c>
      <c r="J32" s="54" t="e">
        <f>#REF!</f>
        <v>#REF!</v>
      </c>
      <c r="K32" s="54">
        <v>15</v>
      </c>
      <c r="L32" s="48" t="s">
        <v>78</v>
      </c>
    </row>
    <row r="33" spans="1:12" s="44" customFormat="1" ht="33.75" customHeight="1">
      <c r="A33" s="48">
        <v>22</v>
      </c>
      <c r="B33" s="49" t="s">
        <v>79</v>
      </c>
      <c r="C33" s="48" t="s">
        <v>5</v>
      </c>
      <c r="D33" s="50" t="e">
        <f>#REF!</f>
        <v>#REF!</v>
      </c>
      <c r="E33" s="50" t="e">
        <f>#REF!</f>
        <v>#REF!</v>
      </c>
      <c r="F33" s="50" t="e">
        <f>#REF!</f>
        <v>#REF!</v>
      </c>
      <c r="G33" s="50" t="e">
        <f>#REF!</f>
        <v>#REF!</v>
      </c>
      <c r="H33" s="50" t="e">
        <f>#REF!</f>
        <v>#REF!</v>
      </c>
      <c r="I33" s="50" t="e">
        <f>#REF!</f>
        <v>#REF!</v>
      </c>
      <c r="J33" s="54" t="e">
        <f>#REF!</f>
        <v>#REF!</v>
      </c>
      <c r="K33" s="54" t="s">
        <v>99</v>
      </c>
      <c r="L33" s="48" t="s">
        <v>78</v>
      </c>
    </row>
    <row r="34" spans="1:12" s="44" customFormat="1" ht="31.5" customHeight="1">
      <c r="A34" s="48">
        <v>23</v>
      </c>
      <c r="B34" s="49" t="s">
        <v>80</v>
      </c>
      <c r="C34" s="48" t="s">
        <v>13</v>
      </c>
      <c r="D34" s="68" t="e">
        <f>#REF!</f>
        <v>#REF!</v>
      </c>
      <c r="E34" s="68" t="e">
        <f>#REF!</f>
        <v>#REF!</v>
      </c>
      <c r="F34" s="68" t="e">
        <f>#REF!</f>
        <v>#REF!</v>
      </c>
      <c r="G34" s="68" t="e">
        <f>#REF!</f>
        <v>#REF!</v>
      </c>
      <c r="H34" s="68" t="e">
        <f>#REF!</f>
        <v>#REF!</v>
      </c>
      <c r="I34" s="68" t="e">
        <f>#REF!</f>
        <v>#REF!</v>
      </c>
      <c r="J34" s="54" t="e">
        <f>#REF!</f>
        <v>#REF!</v>
      </c>
      <c r="K34" s="54">
        <v>74</v>
      </c>
      <c r="L34" s="48" t="s">
        <v>42</v>
      </c>
    </row>
    <row r="35" spans="1:12" s="44" customFormat="1" ht="24.75" customHeight="1">
      <c r="A35" s="48">
        <v>24</v>
      </c>
      <c r="B35" s="49" t="s">
        <v>81</v>
      </c>
      <c r="C35" s="48" t="s">
        <v>82</v>
      </c>
      <c r="D35" s="60" t="e">
        <f>#REF!</f>
        <v>#REF!</v>
      </c>
      <c r="E35" s="60" t="e">
        <f>#REF!</f>
        <v>#REF!</v>
      </c>
      <c r="F35" s="60" t="e">
        <f>#REF!</f>
        <v>#REF!</v>
      </c>
      <c r="G35" s="60" t="e">
        <f>#REF!</f>
        <v>#REF!</v>
      </c>
      <c r="H35" s="60" t="e">
        <f>#REF!</f>
        <v>#REF!</v>
      </c>
      <c r="I35" s="60" t="e">
        <f>#REF!</f>
        <v>#REF!</v>
      </c>
      <c r="J35" s="60" t="e">
        <f>#REF!</f>
        <v>#REF!</v>
      </c>
      <c r="K35" s="48">
        <v>7</v>
      </c>
      <c r="L35" s="48" t="s">
        <v>30</v>
      </c>
    </row>
    <row r="36" spans="1:12" s="44" customFormat="1" ht="35.25" customHeight="1">
      <c r="A36" s="48">
        <v>25</v>
      </c>
      <c r="B36" s="49" t="s">
        <v>83</v>
      </c>
      <c r="C36" s="48" t="s">
        <v>5</v>
      </c>
      <c r="D36" s="67" t="e">
        <f>#REF!</f>
        <v>#REF!</v>
      </c>
      <c r="E36" s="67" t="e">
        <f>#REF!</f>
        <v>#REF!</v>
      </c>
      <c r="F36" s="67" t="e">
        <f>#REF!</f>
        <v>#REF!</v>
      </c>
      <c r="G36" s="67" t="e">
        <f>#REF!</f>
        <v>#REF!</v>
      </c>
      <c r="H36" s="67" t="e">
        <f>#REF!</f>
        <v>#REF!</v>
      </c>
      <c r="I36" s="51" t="e">
        <f>#REF!</f>
        <v>#REF!</v>
      </c>
      <c r="J36" s="48" t="e">
        <f>#REF!</f>
        <v>#REF!</v>
      </c>
      <c r="K36" s="61" t="s">
        <v>12</v>
      </c>
      <c r="L36" s="48" t="s">
        <v>30</v>
      </c>
    </row>
    <row r="37" spans="1:12" s="44" customFormat="1" ht="24.75" customHeight="1">
      <c r="A37" s="48">
        <v>26</v>
      </c>
      <c r="B37" s="49" t="s">
        <v>84</v>
      </c>
      <c r="C37" s="48" t="s">
        <v>85</v>
      </c>
      <c r="D37" s="65" t="e">
        <f>#REF!</f>
        <v>#REF!</v>
      </c>
      <c r="E37" s="65" t="e">
        <f>#REF!</f>
        <v>#REF!</v>
      </c>
      <c r="F37" s="65" t="e">
        <f>#REF!</f>
        <v>#REF!</v>
      </c>
      <c r="G37" s="65" t="e">
        <f>#REF!</f>
        <v>#REF!</v>
      </c>
      <c r="H37" s="65" t="e">
        <f>#REF!</f>
        <v>#REF!</v>
      </c>
      <c r="I37" s="68" t="e">
        <f>#REF!</f>
        <v>#REF!</v>
      </c>
      <c r="J37" s="48" t="e">
        <f>#REF!</f>
        <v>#REF!</v>
      </c>
      <c r="K37" s="48">
        <v>100</v>
      </c>
      <c r="L37" s="48" t="s">
        <v>78</v>
      </c>
    </row>
    <row r="38" spans="1:12" s="44" customFormat="1" ht="24.75" customHeight="1">
      <c r="A38" s="48">
        <v>27</v>
      </c>
      <c r="B38" s="49" t="s">
        <v>86</v>
      </c>
      <c r="C38" s="48" t="s">
        <v>87</v>
      </c>
      <c r="D38" s="50" t="e">
        <f>#REF!</f>
        <v>#REF!</v>
      </c>
      <c r="E38" s="50" t="e">
        <f>#REF!</f>
        <v>#REF!</v>
      </c>
      <c r="F38" s="50" t="e">
        <f>#REF!</f>
        <v>#REF!</v>
      </c>
      <c r="G38" s="50" t="e">
        <f>#REF!</f>
        <v>#REF!</v>
      </c>
      <c r="H38" s="50" t="e">
        <f>#REF!</f>
        <v>#REF!</v>
      </c>
      <c r="I38" s="50" t="e">
        <f>#REF!</f>
        <v>#REF!</v>
      </c>
      <c r="J38" s="124" t="e">
        <f>#REF!</f>
        <v>#REF!</v>
      </c>
      <c r="K38" s="48">
        <v>9.5</v>
      </c>
      <c r="L38" s="48" t="s">
        <v>42</v>
      </c>
    </row>
    <row r="39" spans="1:12" s="44" customFormat="1" ht="24.75" customHeight="1">
      <c r="A39" s="48" t="s">
        <v>88</v>
      </c>
      <c r="B39" s="49" t="s">
        <v>89</v>
      </c>
      <c r="C39" s="48"/>
      <c r="D39" s="50"/>
      <c r="E39" s="50"/>
      <c r="F39" s="48"/>
      <c r="G39" s="48"/>
      <c r="H39" s="48"/>
      <c r="I39" s="48"/>
      <c r="J39" s="48"/>
      <c r="K39" s="48"/>
      <c r="L39" s="48"/>
    </row>
    <row r="40" spans="1:12" s="44" customFormat="1" ht="24.75" customHeight="1">
      <c r="A40" s="48">
        <v>28</v>
      </c>
      <c r="B40" s="49" t="s">
        <v>90</v>
      </c>
      <c r="C40" s="48" t="s">
        <v>5</v>
      </c>
      <c r="D40" s="50" t="e">
        <f>#REF!</f>
        <v>#REF!</v>
      </c>
      <c r="E40" s="50" t="e">
        <f>#REF!</f>
        <v>#REF!</v>
      </c>
      <c r="F40" s="50" t="e">
        <f>#REF!</f>
        <v>#REF!</v>
      </c>
      <c r="G40" s="50" t="e">
        <f>#REF!</f>
        <v>#REF!</v>
      </c>
      <c r="H40" s="50" t="e">
        <f>#REF!</f>
        <v>#REF!</v>
      </c>
      <c r="I40" s="59" t="e">
        <f>+#REF!</f>
        <v>#REF!</v>
      </c>
      <c r="J40" s="48" t="e">
        <f>#REF!</f>
        <v>#REF!</v>
      </c>
      <c r="K40" s="48">
        <v>40.6</v>
      </c>
      <c r="L40" s="48" t="s">
        <v>42</v>
      </c>
    </row>
    <row r="41" spans="1:12" s="44" customFormat="1" ht="34.5" customHeight="1">
      <c r="A41" s="48">
        <v>29</v>
      </c>
      <c r="B41" s="49" t="s">
        <v>91</v>
      </c>
      <c r="C41" s="48" t="s">
        <v>5</v>
      </c>
      <c r="D41" s="60" t="e">
        <f>#REF!</f>
        <v>#REF!</v>
      </c>
      <c r="E41" s="60" t="e">
        <f>#REF!</f>
        <v>#REF!</v>
      </c>
      <c r="F41" s="60" t="e">
        <f>#REF!</f>
        <v>#REF!</v>
      </c>
      <c r="G41" s="60" t="e">
        <f>#REF!</f>
        <v>#REF!</v>
      </c>
      <c r="H41" s="60" t="e">
        <f>#REF!</f>
        <v>#REF!</v>
      </c>
      <c r="I41" s="51" t="e">
        <f>+#REF!</f>
        <v>#REF!</v>
      </c>
      <c r="J41" s="48" t="e">
        <f>#REF!</f>
        <v>#REF!</v>
      </c>
      <c r="K41" s="48">
        <v>84</v>
      </c>
      <c r="L41" s="48" t="s">
        <v>78</v>
      </c>
    </row>
    <row r="42" spans="1:12" s="44" customFormat="1" ht="31.5" customHeight="1">
      <c r="A42" s="48">
        <v>30</v>
      </c>
      <c r="B42" s="49" t="s">
        <v>92</v>
      </c>
      <c r="C42" s="48" t="s">
        <v>5</v>
      </c>
      <c r="D42" s="60" t="e">
        <f>#REF!</f>
        <v>#REF!</v>
      </c>
      <c r="E42" s="60" t="e">
        <f>#REF!</f>
        <v>#REF!</v>
      </c>
      <c r="F42" s="60" t="e">
        <f>#REF!</f>
        <v>#REF!</v>
      </c>
      <c r="G42" s="60" t="e">
        <f>#REF!</f>
        <v>#REF!</v>
      </c>
      <c r="H42" s="60" t="e">
        <f>#REF!</f>
        <v>#REF!</v>
      </c>
      <c r="I42" s="60" t="e">
        <f>#REF!</f>
        <v>#REF!</v>
      </c>
      <c r="J42" s="48" t="e">
        <f>#REF!</f>
        <v>#REF!</v>
      </c>
      <c r="K42" s="48">
        <v>95</v>
      </c>
      <c r="L42" s="48" t="s">
        <v>30</v>
      </c>
    </row>
    <row r="43" spans="1:12" s="41" customFormat="1" ht="17.25" thickBot="1">
      <c r="A43" s="42"/>
      <c r="B43" s="42"/>
      <c r="C43" s="42"/>
      <c r="D43" s="43"/>
      <c r="E43" s="43"/>
      <c r="F43" s="42"/>
      <c r="G43" s="42"/>
      <c r="H43" s="42"/>
      <c r="I43" s="42"/>
      <c r="J43" s="42"/>
      <c r="K43" s="42"/>
      <c r="L43" s="42"/>
    </row>
    <row r="44" ht="13.5" thickTop="1"/>
  </sheetData>
  <sheetProtection/>
  <mergeCells count="14">
    <mergeCell ref="I4:I5"/>
    <mergeCell ref="J4:K4"/>
    <mergeCell ref="L4:L5"/>
    <mergeCell ref="E4:E5"/>
    <mergeCell ref="A30:L30"/>
    <mergeCell ref="A1:L1"/>
    <mergeCell ref="A2:L2"/>
    <mergeCell ref="A4:A5"/>
    <mergeCell ref="B4:B5"/>
    <mergeCell ref="C4:C5"/>
    <mergeCell ref="D4:D5"/>
    <mergeCell ref="F4:F5"/>
    <mergeCell ref="G4:G5"/>
    <mergeCell ref="H4:H5"/>
  </mergeCells>
  <printOptions/>
  <pageMargins left="0.62" right="0.41" top="0.9" bottom="1.2" header="0.43" footer="0.5"/>
  <pageSetup horizontalDpi="300" verticalDpi="300" orientation="landscape" paperSize="9" scale="95" r:id="rId3"/>
  <headerFooter alignWithMargins="0">
    <oddFooter>&amp;C&amp;P</oddFoot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X248"/>
  <sheetViews>
    <sheetView tabSelected="1" view="pageBreakPreview" zoomScale="85" zoomScaleNormal="70" zoomScaleSheetLayoutView="85" workbookViewId="0" topLeftCell="A1">
      <selection activeCell="B11" sqref="B11"/>
    </sheetView>
  </sheetViews>
  <sheetFormatPr defaultColWidth="9.140625" defaultRowHeight="12.75"/>
  <cols>
    <col min="1" max="1" width="5.57421875" style="369" customWidth="1"/>
    <col min="2" max="2" width="40.140625" style="365" customWidth="1"/>
    <col min="3" max="3" width="15.00390625" style="365" customWidth="1"/>
    <col min="4" max="5" width="14.421875" style="366" customWidth="1"/>
    <col min="6" max="10" width="12.421875" style="364" customWidth="1"/>
    <col min="11" max="11" width="15.7109375" style="364" customWidth="1"/>
    <col min="12" max="12" width="20.7109375" style="364" customWidth="1"/>
    <col min="13" max="13" width="22.8515625" style="364" customWidth="1"/>
    <col min="14" max="14" width="13.421875" style="364" customWidth="1"/>
    <col min="15" max="16384" width="9.140625" style="364" customWidth="1"/>
  </cols>
  <sheetData>
    <row r="1" spans="1:12" ht="36.75" customHeight="1">
      <c r="A1" s="364"/>
      <c r="B1" s="782" t="s">
        <v>377</v>
      </c>
      <c r="C1" s="366"/>
      <c r="J1" s="583" t="s">
        <v>357</v>
      </c>
      <c r="K1" s="1320" t="s">
        <v>358</v>
      </c>
      <c r="L1" s="1320"/>
    </row>
    <row r="2" spans="1:12" ht="24" customHeight="1">
      <c r="A2" s="364"/>
      <c r="B2" s="1302" t="s">
        <v>463</v>
      </c>
      <c r="C2" s="1302"/>
      <c r="D2" s="1302"/>
      <c r="E2" s="1302"/>
      <c r="F2" s="1302"/>
      <c r="G2" s="1302"/>
      <c r="H2" s="1302"/>
      <c r="I2" s="1302"/>
      <c r="J2" s="1302"/>
      <c r="K2" s="1302"/>
      <c r="L2" s="1302"/>
    </row>
    <row r="3" spans="1:12" ht="36" customHeight="1">
      <c r="A3" s="1319" t="s">
        <v>400</v>
      </c>
      <c r="B3" s="1319"/>
      <c r="C3" s="1319"/>
      <c r="D3" s="1319"/>
      <c r="E3" s="1319"/>
      <c r="F3" s="1319"/>
      <c r="G3" s="1319"/>
      <c r="H3" s="1319"/>
      <c r="I3" s="1319"/>
      <c r="J3" s="1319"/>
      <c r="K3" s="1319"/>
      <c r="L3" s="1319"/>
    </row>
    <row r="4" spans="1:12" ht="25.5" customHeight="1">
      <c r="A4" s="383"/>
      <c r="B4" s="393"/>
      <c r="C4" s="393"/>
      <c r="D4" s="394"/>
      <c r="E4" s="394"/>
      <c r="F4" s="395"/>
      <c r="G4" s="395"/>
      <c r="H4" s="395"/>
      <c r="I4" s="395"/>
      <c r="J4" s="395"/>
      <c r="K4" s="395"/>
      <c r="L4" s="395"/>
    </row>
    <row r="5" spans="1:12" s="374" customFormat="1" ht="99">
      <c r="A5" s="384" t="s">
        <v>0</v>
      </c>
      <c r="B5" s="384" t="s">
        <v>287</v>
      </c>
      <c r="C5" s="384" t="s">
        <v>184</v>
      </c>
      <c r="D5" s="384" t="s">
        <v>297</v>
      </c>
      <c r="E5" s="384" t="s">
        <v>464</v>
      </c>
      <c r="F5" s="384" t="s">
        <v>298</v>
      </c>
      <c r="G5" s="384" t="s">
        <v>299</v>
      </c>
      <c r="H5" s="384" t="s">
        <v>300</v>
      </c>
      <c r="I5" s="384" t="s">
        <v>799</v>
      </c>
      <c r="J5" s="384" t="s">
        <v>301</v>
      </c>
      <c r="K5" s="384" t="s">
        <v>302</v>
      </c>
      <c r="L5" s="384" t="s">
        <v>409</v>
      </c>
    </row>
    <row r="6" spans="1:14" s="375" customFormat="1" ht="26.25" customHeight="1">
      <c r="A6" s="387" t="s">
        <v>101</v>
      </c>
      <c r="B6" s="385" t="s">
        <v>315</v>
      </c>
      <c r="C6" s="384"/>
      <c r="D6" s="498"/>
      <c r="E6" s="498"/>
      <c r="F6" s="499"/>
      <c r="G6" s="499"/>
      <c r="H6" s="499"/>
      <c r="I6" s="500"/>
      <c r="J6" s="500"/>
      <c r="K6" s="500"/>
      <c r="L6" s="386"/>
      <c r="M6" s="373"/>
      <c r="N6" s="373"/>
    </row>
    <row r="7" spans="1:24" s="363" customFormat="1" ht="30.75" customHeight="1">
      <c r="A7" s="387">
        <v>1</v>
      </c>
      <c r="B7" s="388" t="s">
        <v>305</v>
      </c>
      <c r="C7" s="384"/>
      <c r="D7" s="862"/>
      <c r="E7" s="862"/>
      <c r="F7" s="501"/>
      <c r="G7" s="499"/>
      <c r="H7" s="499"/>
      <c r="I7" s="500"/>
      <c r="J7" s="500"/>
      <c r="K7" s="500"/>
      <c r="L7" s="386"/>
      <c r="M7" s="373"/>
      <c r="N7" s="373"/>
      <c r="O7" s="373"/>
      <c r="P7" s="372"/>
      <c r="R7" s="373"/>
      <c r="S7" s="372"/>
      <c r="U7" s="373"/>
      <c r="V7" s="372"/>
      <c r="X7" s="373"/>
    </row>
    <row r="8" spans="1:24" s="363" customFormat="1" ht="30" customHeight="1">
      <c r="A8" s="389"/>
      <c r="B8" s="391" t="s">
        <v>360</v>
      </c>
      <c r="C8" s="406" t="s">
        <v>517</v>
      </c>
      <c r="D8" s="864">
        <v>30780</v>
      </c>
      <c r="E8" s="863">
        <v>28349</v>
      </c>
      <c r="F8" s="863">
        <v>31760</v>
      </c>
      <c r="G8" s="863">
        <v>32638</v>
      </c>
      <c r="H8" s="862">
        <v>36579</v>
      </c>
      <c r="I8" s="862">
        <v>38271</v>
      </c>
      <c r="J8" s="862">
        <v>39310</v>
      </c>
      <c r="K8" s="862">
        <v>39310</v>
      </c>
      <c r="L8" s="849" t="s">
        <v>724</v>
      </c>
      <c r="M8" s="373"/>
      <c r="N8" s="373"/>
      <c r="O8" s="373"/>
      <c r="P8" s="372"/>
      <c r="R8" s="373"/>
      <c r="S8" s="372"/>
      <c r="U8" s="373"/>
      <c r="V8" s="372"/>
      <c r="X8" s="373"/>
    </row>
    <row r="9" spans="1:14" s="363" customFormat="1" ht="25.5" customHeight="1">
      <c r="A9" s="387">
        <v>2</v>
      </c>
      <c r="B9" s="385" t="s">
        <v>306</v>
      </c>
      <c r="C9" s="406"/>
      <c r="D9" s="864"/>
      <c r="E9" s="864"/>
      <c r="F9" s="865"/>
      <c r="G9" s="865"/>
      <c r="H9" s="865"/>
      <c r="I9" s="865"/>
      <c r="J9" s="865"/>
      <c r="K9" s="865"/>
      <c r="L9" s="486"/>
      <c r="M9" s="373"/>
      <c r="N9" s="373"/>
    </row>
    <row r="10" spans="1:14" ht="21.75" customHeight="1">
      <c r="A10" s="389"/>
      <c r="B10" s="417" t="s">
        <v>361</v>
      </c>
      <c r="C10" s="406" t="s">
        <v>517</v>
      </c>
      <c r="D10" s="864">
        <v>59300</v>
      </c>
      <c r="E10" s="864">
        <v>57747</v>
      </c>
      <c r="F10" s="862">
        <v>59712</v>
      </c>
      <c r="G10" s="863">
        <v>61665</v>
      </c>
      <c r="H10" s="862">
        <v>63281</v>
      </c>
      <c r="I10" s="862">
        <v>63740</v>
      </c>
      <c r="J10" s="862">
        <v>63900</v>
      </c>
      <c r="K10" s="862">
        <v>63900</v>
      </c>
      <c r="L10" s="849" t="s">
        <v>724</v>
      </c>
      <c r="M10" s="373"/>
      <c r="N10" s="373"/>
    </row>
    <row r="11" spans="1:24" s="363" customFormat="1" ht="34.5" customHeight="1">
      <c r="A11" s="387">
        <v>3</v>
      </c>
      <c r="B11" s="388" t="s">
        <v>307</v>
      </c>
      <c r="C11" s="406"/>
      <c r="D11" s="864"/>
      <c r="E11" s="864"/>
      <c r="F11" s="865"/>
      <c r="G11" s="866"/>
      <c r="H11" s="865"/>
      <c r="I11" s="865"/>
      <c r="J11" s="865"/>
      <c r="K11" s="865"/>
      <c r="L11" s="849"/>
      <c r="M11" s="373"/>
      <c r="N11" s="373"/>
      <c r="O11" s="373"/>
      <c r="P11" s="372"/>
      <c r="R11" s="373"/>
      <c r="S11" s="372"/>
      <c r="U11" s="373"/>
      <c r="V11" s="372"/>
      <c r="X11" s="373"/>
    </row>
    <row r="12" spans="1:14" ht="24" customHeight="1">
      <c r="A12" s="389"/>
      <c r="B12" s="417" t="s">
        <v>362</v>
      </c>
      <c r="C12" s="406" t="s">
        <v>517</v>
      </c>
      <c r="D12" s="864">
        <v>38500</v>
      </c>
      <c r="E12" s="864">
        <v>37088</v>
      </c>
      <c r="F12" s="862">
        <v>36424</v>
      </c>
      <c r="G12" s="863">
        <v>36398</v>
      </c>
      <c r="H12" s="862">
        <v>37087</v>
      </c>
      <c r="I12" s="862">
        <v>39574</v>
      </c>
      <c r="J12" s="862">
        <v>40450</v>
      </c>
      <c r="K12" s="862">
        <v>40450</v>
      </c>
      <c r="L12" s="849" t="s">
        <v>724</v>
      </c>
      <c r="M12" s="373"/>
      <c r="N12" s="373"/>
    </row>
    <row r="13" spans="1:14" s="363" customFormat="1" ht="34.5" customHeight="1">
      <c r="A13" s="387">
        <v>4</v>
      </c>
      <c r="B13" s="385" t="s">
        <v>308</v>
      </c>
      <c r="C13" s="406"/>
      <c r="D13" s="864"/>
      <c r="E13" s="864"/>
      <c r="F13" s="865"/>
      <c r="G13" s="866"/>
      <c r="H13" s="865"/>
      <c r="I13" s="865"/>
      <c r="J13" s="865"/>
      <c r="K13" s="865"/>
      <c r="L13" s="486"/>
      <c r="M13" s="373"/>
      <c r="N13" s="373"/>
    </row>
    <row r="14" spans="1:14" ht="36.75" customHeight="1">
      <c r="A14" s="389"/>
      <c r="B14" s="417" t="s">
        <v>363</v>
      </c>
      <c r="C14" s="406" t="s">
        <v>517</v>
      </c>
      <c r="D14" s="1052">
        <v>17700</v>
      </c>
      <c r="E14" s="1052">
        <v>15305</v>
      </c>
      <c r="F14" s="862">
        <v>15449</v>
      </c>
      <c r="G14" s="863">
        <v>15751</v>
      </c>
      <c r="H14" s="862">
        <v>15877</v>
      </c>
      <c r="I14" s="862">
        <v>15384</v>
      </c>
      <c r="J14" s="862">
        <v>16890</v>
      </c>
      <c r="K14" s="862">
        <v>16890</v>
      </c>
      <c r="L14" s="486" t="s">
        <v>42</v>
      </c>
      <c r="M14" s="373"/>
      <c r="N14" s="373">
        <f>K14/D14*100</f>
        <v>95.42372881355932</v>
      </c>
    </row>
    <row r="15" spans="1:14" s="375" customFormat="1" ht="33" customHeight="1">
      <c r="A15" s="387" t="s">
        <v>102</v>
      </c>
      <c r="B15" s="385" t="s">
        <v>317</v>
      </c>
      <c r="C15" s="384"/>
      <c r="D15" s="498"/>
      <c r="E15" s="498"/>
      <c r="F15" s="499"/>
      <c r="G15" s="499"/>
      <c r="H15" s="499"/>
      <c r="I15" s="499"/>
      <c r="J15" s="499"/>
      <c r="K15" s="499"/>
      <c r="L15" s="486"/>
      <c r="M15" s="373"/>
      <c r="N15" s="373"/>
    </row>
    <row r="16" spans="1:14" s="477" customFormat="1" ht="35.25" customHeight="1">
      <c r="A16" s="474">
        <v>1</v>
      </c>
      <c r="B16" s="475" t="s">
        <v>309</v>
      </c>
      <c r="C16" s="476"/>
      <c r="D16" s="867"/>
      <c r="E16" s="867"/>
      <c r="F16" s="868"/>
      <c r="G16" s="868"/>
      <c r="H16" s="868" t="s">
        <v>518</v>
      </c>
      <c r="I16" s="868"/>
      <c r="J16" s="868"/>
      <c r="K16" s="868"/>
      <c r="L16" s="869"/>
      <c r="M16" s="373"/>
      <c r="N16" s="373"/>
    </row>
    <row r="17" spans="1:14" s="477" customFormat="1" ht="45" customHeight="1">
      <c r="A17" s="870"/>
      <c r="B17" s="871" t="s">
        <v>310</v>
      </c>
      <c r="C17" s="872" t="s">
        <v>337</v>
      </c>
      <c r="D17" s="1053">
        <v>4437</v>
      </c>
      <c r="E17" s="1053">
        <v>912</v>
      </c>
      <c r="F17" s="1053">
        <v>987</v>
      </c>
      <c r="G17" s="1053">
        <v>831</v>
      </c>
      <c r="H17" s="1053">
        <v>868</v>
      </c>
      <c r="I17" s="1053">
        <v>710</v>
      </c>
      <c r="J17" s="1053">
        <v>860</v>
      </c>
      <c r="K17" s="1053">
        <f>F17+G17+H17+I17+J17</f>
        <v>4256</v>
      </c>
      <c r="L17" s="873" t="s">
        <v>42</v>
      </c>
      <c r="M17" s="874"/>
      <c r="N17" s="874" t="s">
        <v>518</v>
      </c>
    </row>
    <row r="18" spans="1:14" s="477" customFormat="1" ht="46.5" customHeight="1">
      <c r="A18" s="870"/>
      <c r="B18" s="875" t="s">
        <v>394</v>
      </c>
      <c r="C18" s="876" t="s">
        <v>318</v>
      </c>
      <c r="D18" s="877"/>
      <c r="E18" s="878"/>
      <c r="F18" s="878">
        <f>(F17-E17)/E17*100</f>
        <v>8.223684210526317</v>
      </c>
      <c r="G18" s="878">
        <f>(G17-F17)/F17*100</f>
        <v>-15.80547112462006</v>
      </c>
      <c r="H18" s="878">
        <f>(H17-G17)/G17*100</f>
        <v>4.452466907340553</v>
      </c>
      <c r="I18" s="878">
        <f>(I17-H17)/H17*100</f>
        <v>-18.202764976958523</v>
      </c>
      <c r="J18" s="878">
        <f>(J17-I17)/I17*100</f>
        <v>21.12676056338028</v>
      </c>
      <c r="K18" s="877"/>
      <c r="L18" s="873"/>
      <c r="M18" s="874"/>
      <c r="N18" s="874"/>
    </row>
    <row r="19" spans="1:14" s="477" customFormat="1" ht="41.25" customHeight="1">
      <c r="A19" s="870">
        <v>2</v>
      </c>
      <c r="B19" s="879" t="s">
        <v>311</v>
      </c>
      <c r="C19" s="880"/>
      <c r="D19" s="877"/>
      <c r="E19" s="877"/>
      <c r="F19" s="877"/>
      <c r="G19" s="877"/>
      <c r="H19" s="877"/>
      <c r="I19" s="877"/>
      <c r="J19" s="877"/>
      <c r="K19" s="877"/>
      <c r="L19" s="873"/>
      <c r="M19" s="874"/>
      <c r="N19" s="874"/>
    </row>
    <row r="20" spans="1:14" s="484" customFormat="1" ht="36" customHeight="1">
      <c r="A20" s="873"/>
      <c r="B20" s="881" t="s">
        <v>364</v>
      </c>
      <c r="C20" s="876" t="s">
        <v>337</v>
      </c>
      <c r="D20" s="1053">
        <v>4728</v>
      </c>
      <c r="E20" s="1053">
        <v>1297</v>
      </c>
      <c r="F20" s="1053">
        <v>1423</v>
      </c>
      <c r="G20" s="1053">
        <v>1489</v>
      </c>
      <c r="H20" s="1053">
        <v>936</v>
      </c>
      <c r="I20" s="1053">
        <v>695</v>
      </c>
      <c r="J20" s="1053">
        <v>640</v>
      </c>
      <c r="K20" s="1053">
        <f>F20+G20+H20+I20+J20</f>
        <v>5183</v>
      </c>
      <c r="L20" s="873" t="s">
        <v>36</v>
      </c>
      <c r="M20" s="874"/>
      <c r="N20" s="874"/>
    </row>
    <row r="21" spans="1:14" s="884" customFormat="1" ht="43.5" customHeight="1">
      <c r="A21" s="882"/>
      <c r="B21" s="875" t="s">
        <v>73</v>
      </c>
      <c r="C21" s="876" t="s">
        <v>291</v>
      </c>
      <c r="D21" s="877"/>
      <c r="E21" s="877"/>
      <c r="F21" s="883">
        <f>(F20-E20)/E20*100</f>
        <v>9.714726291441789</v>
      </c>
      <c r="G21" s="883">
        <f>(G20-F20)/F20*100</f>
        <v>4.638088545326775</v>
      </c>
      <c r="H21" s="883">
        <f>(H20-G20)/G20*100</f>
        <v>-37.139019476158495</v>
      </c>
      <c r="I21" s="883">
        <f>(I20-H20)/H20*100</f>
        <v>-25.747863247863243</v>
      </c>
      <c r="J21" s="883">
        <f>(J20-I20)/I20*100</f>
        <v>-7.913669064748201</v>
      </c>
      <c r="K21" s="877"/>
      <c r="L21" s="873"/>
      <c r="M21" s="874"/>
      <c r="N21" s="874"/>
    </row>
    <row r="22" spans="1:14" ht="36.75" customHeight="1">
      <c r="A22" s="389"/>
      <c r="B22" s="417" t="s">
        <v>511</v>
      </c>
      <c r="C22" s="406" t="s">
        <v>515</v>
      </c>
      <c r="D22" s="502">
        <v>870</v>
      </c>
      <c r="E22" s="502">
        <v>40</v>
      </c>
      <c r="F22" s="485">
        <v>50</v>
      </c>
      <c r="G22" s="485">
        <v>70</v>
      </c>
      <c r="H22" s="502">
        <v>152</v>
      </c>
      <c r="I22" s="502">
        <v>120</v>
      </c>
      <c r="J22" s="502">
        <v>250</v>
      </c>
      <c r="K22" s="502">
        <f>F22+G22+H22+I22+J22</f>
        <v>642</v>
      </c>
      <c r="L22" s="873" t="s">
        <v>516</v>
      </c>
      <c r="M22" s="375"/>
      <c r="N22" s="375"/>
    </row>
    <row r="23" spans="1:14" s="368" customFormat="1" ht="45" customHeight="1">
      <c r="A23" s="412"/>
      <c r="B23" s="413" t="s">
        <v>512</v>
      </c>
      <c r="C23" s="392" t="s">
        <v>291</v>
      </c>
      <c r="D23" s="502"/>
      <c r="E23" s="502"/>
      <c r="F23" s="488">
        <f>(50-40)/40*100</f>
        <v>25</v>
      </c>
      <c r="G23" s="488">
        <f>(G22-F22)*100/F22</f>
        <v>40</v>
      </c>
      <c r="H23" s="488">
        <f>(H22-G22)/G22*100</f>
        <v>117.14285714285715</v>
      </c>
      <c r="I23" s="488">
        <f>(I22-H22)/H22*100</f>
        <v>-21.052631578947366</v>
      </c>
      <c r="J23" s="488">
        <f>(J22-I22)/I22*100</f>
        <v>108.33333333333333</v>
      </c>
      <c r="K23" s="503"/>
      <c r="L23" s="873"/>
      <c r="M23" s="375"/>
      <c r="N23" s="375"/>
    </row>
    <row r="24" spans="1:12" ht="36.75" customHeight="1">
      <c r="A24" s="389"/>
      <c r="B24" s="417" t="s">
        <v>513</v>
      </c>
      <c r="C24" s="392"/>
      <c r="D24" s="502">
        <v>2046</v>
      </c>
      <c r="E24" s="502">
        <v>419</v>
      </c>
      <c r="F24" s="502">
        <v>799</v>
      </c>
      <c r="G24" s="502">
        <v>430</v>
      </c>
      <c r="H24" s="502">
        <v>218</v>
      </c>
      <c r="I24" s="502">
        <v>20</v>
      </c>
      <c r="J24" s="502">
        <v>250</v>
      </c>
      <c r="K24" s="502">
        <f>F24+G24+H24+I24+J24</f>
        <v>1717</v>
      </c>
      <c r="L24" s="873" t="s">
        <v>516</v>
      </c>
    </row>
    <row r="25" spans="1:12" s="368" customFormat="1" ht="45" customHeight="1">
      <c r="A25" s="412"/>
      <c r="B25" s="413" t="s">
        <v>514</v>
      </c>
      <c r="C25" s="392" t="s">
        <v>291</v>
      </c>
      <c r="D25" s="504"/>
      <c r="E25" s="504"/>
      <c r="F25" s="505">
        <f>(799-419)*100/419</f>
        <v>90.69212410501193</v>
      </c>
      <c r="G25" s="506">
        <f>(G24-F24)/F24*100</f>
        <v>-46.18272841051314</v>
      </c>
      <c r="H25" s="506">
        <f>(H24-G24)/G24*100</f>
        <v>-49.30232558139535</v>
      </c>
      <c r="I25" s="506">
        <f>(I24-H24)/H24*100</f>
        <v>-90.82568807339449</v>
      </c>
      <c r="J25" s="506">
        <f>(J24-I24)/I24*100</f>
        <v>1150</v>
      </c>
      <c r="K25" s="507"/>
      <c r="L25" s="873"/>
    </row>
    <row r="26" spans="1:12" ht="32.25" customHeight="1">
      <c r="A26" s="389"/>
      <c r="B26" s="417" t="s">
        <v>365</v>
      </c>
      <c r="C26" s="392" t="s">
        <v>291</v>
      </c>
      <c r="D26" s="508">
        <v>44.8</v>
      </c>
      <c r="E26" s="508">
        <v>29.51</v>
      </c>
      <c r="F26" s="509">
        <v>32.41</v>
      </c>
      <c r="G26" s="509">
        <v>35.62</v>
      </c>
      <c r="H26" s="509">
        <v>38.52</v>
      </c>
      <c r="I26" s="509">
        <v>41.3</v>
      </c>
      <c r="J26" s="509">
        <v>43.77</v>
      </c>
      <c r="K26" s="510">
        <f>J26</f>
        <v>43.77</v>
      </c>
      <c r="L26" s="873" t="s">
        <v>516</v>
      </c>
    </row>
    <row r="27" spans="1:13" s="477" customFormat="1" ht="36" customHeight="1">
      <c r="A27" s="474" t="s">
        <v>115</v>
      </c>
      <c r="B27" s="475" t="s">
        <v>316</v>
      </c>
      <c r="C27" s="476"/>
      <c r="D27" s="511"/>
      <c r="E27" s="511"/>
      <c r="F27" s="512"/>
      <c r="G27" s="512"/>
      <c r="H27" s="512"/>
      <c r="I27" s="512"/>
      <c r="J27" s="512"/>
      <c r="K27" s="512"/>
      <c r="L27" s="482"/>
      <c r="M27" s="477" t="s">
        <v>533</v>
      </c>
    </row>
    <row r="28" spans="1:13" s="484" customFormat="1" ht="31.5" customHeight="1">
      <c r="A28" s="478">
        <v>1</v>
      </c>
      <c r="B28" s="479" t="s">
        <v>312</v>
      </c>
      <c r="C28" s="480" t="s">
        <v>5</v>
      </c>
      <c r="D28" s="480"/>
      <c r="E28" s="480"/>
      <c r="F28" s="481"/>
      <c r="G28" s="481"/>
      <c r="H28" s="481"/>
      <c r="I28" s="481"/>
      <c r="J28" s="481"/>
      <c r="K28" s="481"/>
      <c r="L28" s="482"/>
      <c r="M28" s="483"/>
    </row>
    <row r="29" spans="1:13" s="484" customFormat="1" ht="31.5" customHeight="1">
      <c r="A29" s="478">
        <v>2</v>
      </c>
      <c r="B29" s="479" t="s">
        <v>313</v>
      </c>
      <c r="C29" s="480" t="s">
        <v>5</v>
      </c>
      <c r="D29" s="480"/>
      <c r="E29" s="480"/>
      <c r="F29" s="481"/>
      <c r="G29" s="481"/>
      <c r="H29" s="481"/>
      <c r="I29" s="481"/>
      <c r="J29" s="481"/>
      <c r="K29" s="481"/>
      <c r="L29" s="481"/>
      <c r="M29" s="483"/>
    </row>
    <row r="30" spans="1:13" s="484" customFormat="1" ht="36" customHeight="1">
      <c r="A30" s="478">
        <v>3</v>
      </c>
      <c r="B30" s="479" t="s">
        <v>314</v>
      </c>
      <c r="C30" s="480" t="s">
        <v>5</v>
      </c>
      <c r="D30" s="480"/>
      <c r="E30" s="480"/>
      <c r="F30" s="481"/>
      <c r="G30" s="481"/>
      <c r="H30" s="481"/>
      <c r="I30" s="481"/>
      <c r="J30" s="481"/>
      <c r="K30" s="481"/>
      <c r="L30" s="482"/>
      <c r="M30" s="483"/>
    </row>
    <row r="31" spans="1:12" ht="16.5">
      <c r="A31" s="383"/>
      <c r="B31" s="393"/>
      <c r="C31" s="393"/>
      <c r="D31" s="394"/>
      <c r="E31" s="394"/>
      <c r="F31" s="419"/>
      <c r="G31" s="419"/>
      <c r="H31" s="419"/>
      <c r="I31" s="419"/>
      <c r="J31" s="419"/>
      <c r="K31" s="419"/>
      <c r="L31" s="395"/>
    </row>
    <row r="32" spans="1:12" ht="16.5">
      <c r="A32" s="383"/>
      <c r="B32" s="1300" t="s">
        <v>404</v>
      </c>
      <c r="C32" s="1300"/>
      <c r="D32" s="1300"/>
      <c r="E32" s="493"/>
      <c r="F32" s="395"/>
      <c r="G32" s="395"/>
      <c r="H32" s="395"/>
      <c r="I32" s="395"/>
      <c r="J32" s="395"/>
      <c r="K32" s="395"/>
      <c r="L32" s="395"/>
    </row>
    <row r="33" spans="1:12" ht="16.5">
      <c r="A33" s="383"/>
      <c r="B33" s="393"/>
      <c r="C33" s="393"/>
      <c r="D33" s="394"/>
      <c r="E33" s="394"/>
      <c r="F33" s="395"/>
      <c r="G33" s="395"/>
      <c r="H33" s="395"/>
      <c r="I33" s="395"/>
      <c r="J33" s="395"/>
      <c r="K33" s="395"/>
      <c r="L33" s="395"/>
    </row>
    <row r="34" spans="1:12" ht="16.5">
      <c r="A34" s="383"/>
      <c r="B34" s="393"/>
      <c r="C34" s="393"/>
      <c r="D34" s="394"/>
      <c r="E34" s="394"/>
      <c r="F34" s="395"/>
      <c r="G34" s="395"/>
      <c r="H34" s="395"/>
      <c r="I34" s="395"/>
      <c r="J34" s="395"/>
      <c r="K34" s="395"/>
      <c r="L34" s="395"/>
    </row>
    <row r="35" spans="1:12" ht="16.5">
      <c r="A35" s="383"/>
      <c r="B35" s="393"/>
      <c r="C35" s="393"/>
      <c r="D35" s="394"/>
      <c r="E35" s="394"/>
      <c r="F35" s="395"/>
      <c r="G35" s="395"/>
      <c r="H35" s="395"/>
      <c r="I35" s="395"/>
      <c r="J35" s="395"/>
      <c r="K35" s="395"/>
      <c r="L35" s="395"/>
    </row>
    <row r="36" spans="1:12" ht="16.5">
      <c r="A36" s="383"/>
      <c r="B36" s="393"/>
      <c r="C36" s="393"/>
      <c r="D36" s="394"/>
      <c r="E36" s="394"/>
      <c r="F36" s="395"/>
      <c r="G36" s="395"/>
      <c r="H36" s="395"/>
      <c r="I36" s="395"/>
      <c r="J36" s="395"/>
      <c r="K36" s="395"/>
      <c r="L36" s="395"/>
    </row>
    <row r="37" spans="1:12" ht="16.5">
      <c r="A37" s="383"/>
      <c r="B37" s="393"/>
      <c r="C37" s="393"/>
      <c r="D37" s="394"/>
      <c r="E37" s="394"/>
      <c r="F37" s="395"/>
      <c r="G37" s="395"/>
      <c r="H37" s="395"/>
      <c r="I37" s="395"/>
      <c r="J37" s="395"/>
      <c r="K37" s="395"/>
      <c r="L37" s="395"/>
    </row>
    <row r="38" spans="1:12" ht="16.5">
      <c r="A38" s="383"/>
      <c r="B38" s="393"/>
      <c r="C38" s="393"/>
      <c r="D38" s="394"/>
      <c r="E38" s="394"/>
      <c r="F38" s="395"/>
      <c r="G38" s="395"/>
      <c r="H38" s="395"/>
      <c r="I38" s="395"/>
      <c r="J38" s="395"/>
      <c r="K38" s="395"/>
      <c r="L38" s="395"/>
    </row>
    <row r="39" spans="1:12" ht="16.5">
      <c r="A39" s="383"/>
      <c r="B39" s="393"/>
      <c r="C39" s="393"/>
      <c r="D39" s="394"/>
      <c r="E39" s="394"/>
      <c r="F39" s="395"/>
      <c r="G39" s="395"/>
      <c r="H39" s="395"/>
      <c r="I39" s="395"/>
      <c r="J39" s="395"/>
      <c r="K39" s="395"/>
      <c r="L39" s="395"/>
    </row>
    <row r="40" spans="1:12" ht="16.5">
      <c r="A40" s="383"/>
      <c r="B40" s="393"/>
      <c r="C40" s="393"/>
      <c r="D40" s="394"/>
      <c r="E40" s="394"/>
      <c r="F40" s="395"/>
      <c r="G40" s="395"/>
      <c r="H40" s="395"/>
      <c r="I40" s="395"/>
      <c r="J40" s="395"/>
      <c r="K40" s="395"/>
      <c r="L40" s="395"/>
    </row>
    <row r="41" spans="1:12" ht="16.5">
      <c r="A41" s="383"/>
      <c r="B41" s="393"/>
      <c r="C41" s="393"/>
      <c r="D41" s="394"/>
      <c r="E41" s="394"/>
      <c r="F41" s="395"/>
      <c r="G41" s="395"/>
      <c r="H41" s="395"/>
      <c r="I41" s="395"/>
      <c r="J41" s="395"/>
      <c r="K41" s="395"/>
      <c r="L41" s="395"/>
    </row>
    <row r="42" spans="1:12" ht="16.5">
      <c r="A42" s="383"/>
      <c r="B42" s="393"/>
      <c r="C42" s="393"/>
      <c r="D42" s="394"/>
      <c r="E42" s="394"/>
      <c r="F42" s="395"/>
      <c r="G42" s="395"/>
      <c r="H42" s="395"/>
      <c r="I42" s="395"/>
      <c r="J42" s="395"/>
      <c r="K42" s="395"/>
      <c r="L42" s="395"/>
    </row>
    <row r="43" spans="1:12" ht="16.5">
      <c r="A43" s="383"/>
      <c r="B43" s="393"/>
      <c r="C43" s="393"/>
      <c r="D43" s="394"/>
      <c r="E43" s="394"/>
      <c r="F43" s="395"/>
      <c r="G43" s="395"/>
      <c r="H43" s="395"/>
      <c r="I43" s="395"/>
      <c r="J43" s="395"/>
      <c r="K43" s="395"/>
      <c r="L43" s="395"/>
    </row>
    <row r="44" spans="1:12" ht="16.5">
      <c r="A44" s="383"/>
      <c r="B44" s="393"/>
      <c r="C44" s="393"/>
      <c r="D44" s="394"/>
      <c r="E44" s="394"/>
      <c r="F44" s="395"/>
      <c r="G44" s="395"/>
      <c r="H44" s="395"/>
      <c r="I44" s="395"/>
      <c r="J44" s="395"/>
      <c r="K44" s="395"/>
      <c r="L44" s="395"/>
    </row>
    <row r="45" spans="1:12" ht="16.5">
      <c r="A45" s="383"/>
      <c r="B45" s="393"/>
      <c r="C45" s="393"/>
      <c r="D45" s="394"/>
      <c r="E45" s="394"/>
      <c r="F45" s="395"/>
      <c r="G45" s="395"/>
      <c r="H45" s="395"/>
      <c r="I45" s="395"/>
      <c r="J45" s="395"/>
      <c r="K45" s="395"/>
      <c r="L45" s="395"/>
    </row>
    <row r="46" spans="1:12" ht="16.5">
      <c r="A46" s="383"/>
      <c r="B46" s="393"/>
      <c r="C46" s="393"/>
      <c r="D46" s="394"/>
      <c r="E46" s="394"/>
      <c r="F46" s="395"/>
      <c r="G46" s="395"/>
      <c r="H46" s="395"/>
      <c r="I46" s="395"/>
      <c r="J46" s="395"/>
      <c r="K46" s="395"/>
      <c r="L46" s="395"/>
    </row>
    <row r="47" spans="1:12" ht="16.5">
      <c r="A47" s="383"/>
      <c r="B47" s="393"/>
      <c r="C47" s="393"/>
      <c r="D47" s="394"/>
      <c r="E47" s="394"/>
      <c r="F47" s="395"/>
      <c r="G47" s="395"/>
      <c r="H47" s="395"/>
      <c r="I47" s="395"/>
      <c r="J47" s="395"/>
      <c r="K47" s="395"/>
      <c r="L47" s="395"/>
    </row>
    <row r="48" spans="1:12" ht="16.5">
      <c r="A48" s="383"/>
      <c r="B48" s="393"/>
      <c r="C48" s="393"/>
      <c r="D48" s="394"/>
      <c r="E48" s="394"/>
      <c r="F48" s="395"/>
      <c r="G48" s="395"/>
      <c r="H48" s="395"/>
      <c r="I48" s="395"/>
      <c r="J48" s="395"/>
      <c r="K48" s="395"/>
      <c r="L48" s="395"/>
    </row>
    <row r="49" spans="1:12" ht="16.5">
      <c r="A49" s="383"/>
      <c r="B49" s="393"/>
      <c r="C49" s="393"/>
      <c r="D49" s="394"/>
      <c r="E49" s="394"/>
      <c r="F49" s="395"/>
      <c r="G49" s="395"/>
      <c r="H49" s="395"/>
      <c r="I49" s="395"/>
      <c r="J49" s="395"/>
      <c r="K49" s="395"/>
      <c r="L49" s="395"/>
    </row>
    <row r="50" spans="1:12" ht="16.5">
      <c r="A50" s="383"/>
      <c r="B50" s="393"/>
      <c r="C50" s="393"/>
      <c r="D50" s="394"/>
      <c r="E50" s="394"/>
      <c r="F50" s="395"/>
      <c r="G50" s="395"/>
      <c r="H50" s="395"/>
      <c r="I50" s="395"/>
      <c r="J50" s="395"/>
      <c r="K50" s="395"/>
      <c r="L50" s="395"/>
    </row>
    <row r="51" spans="1:12" ht="16.5">
      <c r="A51" s="383"/>
      <c r="B51" s="393"/>
      <c r="C51" s="393"/>
      <c r="D51" s="394"/>
      <c r="E51" s="394"/>
      <c r="F51" s="395"/>
      <c r="G51" s="395"/>
      <c r="H51" s="395"/>
      <c r="I51" s="395"/>
      <c r="J51" s="395"/>
      <c r="K51" s="395"/>
      <c r="L51" s="395"/>
    </row>
    <row r="52" spans="1:12" ht="16.5">
      <c r="A52" s="383"/>
      <c r="B52" s="393"/>
      <c r="C52" s="393"/>
      <c r="D52" s="394"/>
      <c r="E52" s="394"/>
      <c r="F52" s="395"/>
      <c r="G52" s="395"/>
      <c r="H52" s="395"/>
      <c r="I52" s="395"/>
      <c r="J52" s="395"/>
      <c r="K52" s="395"/>
      <c r="L52" s="395"/>
    </row>
    <row r="53" spans="1:12" ht="16.5">
      <c r="A53" s="383"/>
      <c r="B53" s="393"/>
      <c r="C53" s="393"/>
      <c r="D53" s="394"/>
      <c r="E53" s="394"/>
      <c r="F53" s="395"/>
      <c r="G53" s="395"/>
      <c r="H53" s="395"/>
      <c r="I53" s="395"/>
      <c r="J53" s="395"/>
      <c r="K53" s="395"/>
      <c r="L53" s="395"/>
    </row>
    <row r="54" spans="1:12" ht="16.5">
      <c r="A54" s="383"/>
      <c r="B54" s="393"/>
      <c r="C54" s="393"/>
      <c r="D54" s="394"/>
      <c r="E54" s="394"/>
      <c r="F54" s="395"/>
      <c r="G54" s="395"/>
      <c r="H54" s="395"/>
      <c r="I54" s="395"/>
      <c r="J54" s="395"/>
      <c r="K54" s="395"/>
      <c r="L54" s="395"/>
    </row>
    <row r="55" spans="1:12" ht="16.5">
      <c r="A55" s="383"/>
      <c r="B55" s="393"/>
      <c r="C55" s="393"/>
      <c r="D55" s="394"/>
      <c r="E55" s="394"/>
      <c r="F55" s="395"/>
      <c r="G55" s="395"/>
      <c r="H55" s="395"/>
      <c r="I55" s="395"/>
      <c r="J55" s="395"/>
      <c r="K55" s="395"/>
      <c r="L55" s="395"/>
    </row>
    <row r="56" spans="1:12" ht="16.5">
      <c r="A56" s="383"/>
      <c r="B56" s="393"/>
      <c r="C56" s="393"/>
      <c r="D56" s="394"/>
      <c r="E56" s="394"/>
      <c r="F56" s="395"/>
      <c r="G56" s="395"/>
      <c r="H56" s="395"/>
      <c r="I56" s="395"/>
      <c r="J56" s="395"/>
      <c r="K56" s="395"/>
      <c r="L56" s="395"/>
    </row>
    <row r="57" spans="1:12" ht="16.5">
      <c r="A57" s="383"/>
      <c r="B57" s="393"/>
      <c r="C57" s="393"/>
      <c r="D57" s="394"/>
      <c r="E57" s="394"/>
      <c r="F57" s="395"/>
      <c r="G57" s="395"/>
      <c r="H57" s="395"/>
      <c r="I57" s="395"/>
      <c r="J57" s="395"/>
      <c r="K57" s="395"/>
      <c r="L57" s="395"/>
    </row>
    <row r="58" spans="1:12" ht="16.5">
      <c r="A58" s="383"/>
      <c r="B58" s="393"/>
      <c r="C58" s="393"/>
      <c r="D58" s="394"/>
      <c r="E58" s="394"/>
      <c r="F58" s="395"/>
      <c r="G58" s="395"/>
      <c r="H58" s="395"/>
      <c r="I58" s="395"/>
      <c r="J58" s="395"/>
      <c r="K58" s="395"/>
      <c r="L58" s="395"/>
    </row>
    <row r="59" spans="1:12" ht="16.5">
      <c r="A59" s="383"/>
      <c r="B59" s="393"/>
      <c r="C59" s="393"/>
      <c r="D59" s="394"/>
      <c r="E59" s="394"/>
      <c r="F59" s="395"/>
      <c r="G59" s="395"/>
      <c r="H59" s="395"/>
      <c r="I59" s="395"/>
      <c r="J59" s="395"/>
      <c r="K59" s="395"/>
      <c r="L59" s="395"/>
    </row>
    <row r="60" spans="1:12" ht="16.5">
      <c r="A60" s="383"/>
      <c r="B60" s="393"/>
      <c r="C60" s="393"/>
      <c r="D60" s="394"/>
      <c r="E60" s="394"/>
      <c r="F60" s="395"/>
      <c r="G60" s="395"/>
      <c r="H60" s="395"/>
      <c r="I60" s="395"/>
      <c r="J60" s="395"/>
      <c r="K60" s="395"/>
      <c r="L60" s="395"/>
    </row>
    <row r="61" spans="1:12" ht="16.5">
      <c r="A61" s="383"/>
      <c r="B61" s="393"/>
      <c r="C61" s="393"/>
      <c r="D61" s="394"/>
      <c r="E61" s="394"/>
      <c r="F61" s="395"/>
      <c r="G61" s="395"/>
      <c r="H61" s="395"/>
      <c r="I61" s="395"/>
      <c r="J61" s="395"/>
      <c r="K61" s="395"/>
      <c r="L61" s="395"/>
    </row>
    <row r="62" spans="1:12" ht="16.5">
      <c r="A62" s="383"/>
      <c r="B62" s="393"/>
      <c r="C62" s="393"/>
      <c r="D62" s="394"/>
      <c r="E62" s="394"/>
      <c r="F62" s="395"/>
      <c r="G62" s="395"/>
      <c r="H62" s="395"/>
      <c r="I62" s="395"/>
      <c r="J62" s="395"/>
      <c r="K62" s="395"/>
      <c r="L62" s="395"/>
    </row>
    <row r="63" spans="1:12" ht="16.5">
      <c r="A63" s="383"/>
      <c r="B63" s="393"/>
      <c r="C63" s="393"/>
      <c r="D63" s="394"/>
      <c r="E63" s="394"/>
      <c r="F63" s="395"/>
      <c r="G63" s="395"/>
      <c r="H63" s="395"/>
      <c r="I63" s="395"/>
      <c r="J63" s="395"/>
      <c r="K63" s="395"/>
      <c r="L63" s="395"/>
    </row>
    <row r="64" spans="1:12" ht="16.5">
      <c r="A64" s="383"/>
      <c r="B64" s="393"/>
      <c r="C64" s="393"/>
      <c r="D64" s="394"/>
      <c r="E64" s="394"/>
      <c r="F64" s="395"/>
      <c r="G64" s="395"/>
      <c r="H64" s="395"/>
      <c r="I64" s="395"/>
      <c r="J64" s="395"/>
      <c r="K64" s="395"/>
      <c r="L64" s="395"/>
    </row>
    <row r="65" spans="1:12" ht="16.5">
      <c r="A65" s="383"/>
      <c r="B65" s="393"/>
      <c r="C65" s="393"/>
      <c r="D65" s="394"/>
      <c r="E65" s="394"/>
      <c r="F65" s="395"/>
      <c r="G65" s="395"/>
      <c r="H65" s="395"/>
      <c r="I65" s="395"/>
      <c r="J65" s="395"/>
      <c r="K65" s="395"/>
      <c r="L65" s="395"/>
    </row>
    <row r="66" spans="1:12" ht="16.5">
      <c r="A66" s="383"/>
      <c r="B66" s="393"/>
      <c r="C66" s="393"/>
      <c r="D66" s="394"/>
      <c r="E66" s="394"/>
      <c r="F66" s="395"/>
      <c r="G66" s="395"/>
      <c r="H66" s="395"/>
      <c r="I66" s="395"/>
      <c r="J66" s="395"/>
      <c r="K66" s="395"/>
      <c r="L66" s="395"/>
    </row>
    <row r="67" spans="1:12" ht="16.5">
      <c r="A67" s="383"/>
      <c r="B67" s="393"/>
      <c r="C67" s="393"/>
      <c r="D67" s="394"/>
      <c r="E67" s="394"/>
      <c r="F67" s="395"/>
      <c r="G67" s="395"/>
      <c r="H67" s="395"/>
      <c r="I67" s="395"/>
      <c r="J67" s="395"/>
      <c r="K67" s="395"/>
      <c r="L67" s="395"/>
    </row>
    <row r="68" spans="1:12" ht="16.5">
      <c r="A68" s="383"/>
      <c r="B68" s="393"/>
      <c r="C68" s="393"/>
      <c r="D68" s="394"/>
      <c r="E68" s="394"/>
      <c r="F68" s="395"/>
      <c r="G68" s="395"/>
      <c r="H68" s="395"/>
      <c r="I68" s="395"/>
      <c r="J68" s="395"/>
      <c r="K68" s="395"/>
      <c r="L68" s="395"/>
    </row>
    <row r="69" spans="1:12" ht="16.5">
      <c r="A69" s="383"/>
      <c r="B69" s="393"/>
      <c r="C69" s="393"/>
      <c r="D69" s="394"/>
      <c r="E69" s="394"/>
      <c r="F69" s="395"/>
      <c r="G69" s="395"/>
      <c r="H69" s="395"/>
      <c r="I69" s="395"/>
      <c r="J69" s="395"/>
      <c r="K69" s="395"/>
      <c r="L69" s="395"/>
    </row>
    <row r="70" spans="1:12" ht="16.5">
      <c r="A70" s="383"/>
      <c r="B70" s="393"/>
      <c r="C70" s="393"/>
      <c r="D70" s="394"/>
      <c r="E70" s="394"/>
      <c r="F70" s="395"/>
      <c r="G70" s="395"/>
      <c r="H70" s="395"/>
      <c r="I70" s="395"/>
      <c r="J70" s="395"/>
      <c r="K70" s="395"/>
      <c r="L70" s="395"/>
    </row>
    <row r="71" spans="1:12" ht="16.5">
      <c r="A71" s="383"/>
      <c r="B71" s="393"/>
      <c r="C71" s="393"/>
      <c r="D71" s="394"/>
      <c r="E71" s="394"/>
      <c r="F71" s="395"/>
      <c r="G71" s="395"/>
      <c r="H71" s="395"/>
      <c r="I71" s="395"/>
      <c r="J71" s="395"/>
      <c r="K71" s="395"/>
      <c r="L71" s="395"/>
    </row>
    <row r="72" spans="1:12" ht="16.5">
      <c r="A72" s="383"/>
      <c r="B72" s="393"/>
      <c r="C72" s="393"/>
      <c r="D72" s="394"/>
      <c r="E72" s="394"/>
      <c r="F72" s="395"/>
      <c r="G72" s="395"/>
      <c r="H72" s="395"/>
      <c r="I72" s="395"/>
      <c r="J72" s="395"/>
      <c r="K72" s="395"/>
      <c r="L72" s="395"/>
    </row>
    <row r="73" spans="1:12" ht="16.5">
      <c r="A73" s="383"/>
      <c r="B73" s="393"/>
      <c r="C73" s="393"/>
      <c r="D73" s="394"/>
      <c r="E73" s="394"/>
      <c r="F73" s="395"/>
      <c r="G73" s="395"/>
      <c r="H73" s="395"/>
      <c r="I73" s="395"/>
      <c r="J73" s="395"/>
      <c r="K73" s="395"/>
      <c r="L73" s="395"/>
    </row>
    <row r="74" spans="1:12" ht="16.5">
      <c r="A74" s="383"/>
      <c r="B74" s="393"/>
      <c r="C74" s="393"/>
      <c r="D74" s="394"/>
      <c r="E74" s="394"/>
      <c r="F74" s="395"/>
      <c r="G74" s="395"/>
      <c r="H74" s="395"/>
      <c r="I74" s="395"/>
      <c r="J74" s="395"/>
      <c r="K74" s="395"/>
      <c r="L74" s="395"/>
    </row>
    <row r="75" spans="1:12" ht="16.5">
      <c r="A75" s="383"/>
      <c r="B75" s="393"/>
      <c r="C75" s="393"/>
      <c r="D75" s="394"/>
      <c r="E75" s="394"/>
      <c r="F75" s="395"/>
      <c r="G75" s="395"/>
      <c r="H75" s="395"/>
      <c r="I75" s="395"/>
      <c r="J75" s="395"/>
      <c r="K75" s="395"/>
      <c r="L75" s="395"/>
    </row>
    <row r="76" spans="1:12" ht="16.5">
      <c r="A76" s="383"/>
      <c r="B76" s="393"/>
      <c r="C76" s="393"/>
      <c r="D76" s="394"/>
      <c r="E76" s="394"/>
      <c r="F76" s="395"/>
      <c r="G76" s="395"/>
      <c r="H76" s="395"/>
      <c r="I76" s="395"/>
      <c r="J76" s="395"/>
      <c r="K76" s="395"/>
      <c r="L76" s="395"/>
    </row>
    <row r="77" spans="1:12" ht="16.5">
      <c r="A77" s="383"/>
      <c r="B77" s="393"/>
      <c r="C77" s="393"/>
      <c r="D77" s="394"/>
      <c r="E77" s="394"/>
      <c r="F77" s="395"/>
      <c r="G77" s="395"/>
      <c r="H77" s="395"/>
      <c r="I77" s="395"/>
      <c r="J77" s="395"/>
      <c r="K77" s="395"/>
      <c r="L77" s="395"/>
    </row>
    <row r="78" spans="1:12" ht="16.5">
      <c r="A78" s="383"/>
      <c r="B78" s="393"/>
      <c r="C78" s="393"/>
      <c r="D78" s="394"/>
      <c r="E78" s="394"/>
      <c r="F78" s="395"/>
      <c r="G78" s="395"/>
      <c r="H78" s="395"/>
      <c r="I78" s="395"/>
      <c r="J78" s="395"/>
      <c r="K78" s="395"/>
      <c r="L78" s="395"/>
    </row>
    <row r="79" spans="1:12" ht="16.5">
      <c r="A79" s="383"/>
      <c r="B79" s="393"/>
      <c r="C79" s="393"/>
      <c r="D79" s="394"/>
      <c r="E79" s="394"/>
      <c r="F79" s="395"/>
      <c r="G79" s="395"/>
      <c r="H79" s="395"/>
      <c r="I79" s="395"/>
      <c r="J79" s="395"/>
      <c r="K79" s="395"/>
      <c r="L79" s="395"/>
    </row>
    <row r="80" spans="1:12" ht="16.5">
      <c r="A80" s="383"/>
      <c r="B80" s="393"/>
      <c r="C80" s="393"/>
      <c r="D80" s="394"/>
      <c r="E80" s="394"/>
      <c r="F80" s="395"/>
      <c r="G80" s="395"/>
      <c r="H80" s="395"/>
      <c r="I80" s="395"/>
      <c r="J80" s="395"/>
      <c r="K80" s="395"/>
      <c r="L80" s="395"/>
    </row>
    <row r="81" spans="1:12" ht="16.5">
      <c r="A81" s="383"/>
      <c r="B81" s="393"/>
      <c r="C81" s="393"/>
      <c r="D81" s="394"/>
      <c r="E81" s="394"/>
      <c r="F81" s="395"/>
      <c r="G81" s="395"/>
      <c r="H81" s="395"/>
      <c r="I81" s="395"/>
      <c r="J81" s="395"/>
      <c r="K81" s="395"/>
      <c r="L81" s="395"/>
    </row>
    <row r="82" spans="1:12" ht="16.5">
      <c r="A82" s="383"/>
      <c r="B82" s="393"/>
      <c r="C82" s="393"/>
      <c r="D82" s="394"/>
      <c r="E82" s="394"/>
      <c r="F82" s="395"/>
      <c r="G82" s="395"/>
      <c r="H82" s="395"/>
      <c r="I82" s="395"/>
      <c r="J82" s="395"/>
      <c r="K82" s="395"/>
      <c r="L82" s="395"/>
    </row>
    <row r="83" spans="1:12" ht="16.5">
      <c r="A83" s="383"/>
      <c r="B83" s="393"/>
      <c r="C83" s="393"/>
      <c r="D83" s="394"/>
      <c r="E83" s="394"/>
      <c r="F83" s="395"/>
      <c r="G83" s="395"/>
      <c r="H83" s="395"/>
      <c r="I83" s="395"/>
      <c r="J83" s="395"/>
      <c r="K83" s="395"/>
      <c r="L83" s="395"/>
    </row>
    <row r="84" spans="1:12" ht="16.5">
      <c r="A84" s="383"/>
      <c r="B84" s="393"/>
      <c r="C84" s="393"/>
      <c r="D84" s="394"/>
      <c r="E84" s="394"/>
      <c r="F84" s="395"/>
      <c r="G84" s="395"/>
      <c r="H84" s="395"/>
      <c r="I84" s="395"/>
      <c r="J84" s="395"/>
      <c r="K84" s="395"/>
      <c r="L84" s="395"/>
    </row>
    <row r="85" spans="1:12" ht="16.5">
      <c r="A85" s="383"/>
      <c r="B85" s="393"/>
      <c r="C85" s="393"/>
      <c r="D85" s="394"/>
      <c r="E85" s="394"/>
      <c r="F85" s="395"/>
      <c r="G85" s="395"/>
      <c r="H85" s="395"/>
      <c r="I85" s="395"/>
      <c r="J85" s="395"/>
      <c r="K85" s="395"/>
      <c r="L85" s="395"/>
    </row>
    <row r="86" spans="1:12" ht="16.5">
      <c r="A86" s="383"/>
      <c r="B86" s="393"/>
      <c r="C86" s="393"/>
      <c r="D86" s="394"/>
      <c r="E86" s="394"/>
      <c r="F86" s="395"/>
      <c r="G86" s="395"/>
      <c r="H86" s="395"/>
      <c r="I86" s="395"/>
      <c r="J86" s="395"/>
      <c r="K86" s="395"/>
      <c r="L86" s="395"/>
    </row>
    <row r="87" spans="1:12" ht="16.5">
      <c r="A87" s="383"/>
      <c r="B87" s="393"/>
      <c r="C87" s="393"/>
      <c r="D87" s="394"/>
      <c r="E87" s="394"/>
      <c r="F87" s="395"/>
      <c r="G87" s="395"/>
      <c r="H87" s="395"/>
      <c r="I87" s="395"/>
      <c r="J87" s="395"/>
      <c r="K87" s="395"/>
      <c r="L87" s="395"/>
    </row>
    <row r="88" spans="1:12" ht="16.5">
      <c r="A88" s="383"/>
      <c r="B88" s="393"/>
      <c r="C88" s="393"/>
      <c r="D88" s="394"/>
      <c r="E88" s="394"/>
      <c r="F88" s="395"/>
      <c r="G88" s="395"/>
      <c r="H88" s="395"/>
      <c r="I88" s="395"/>
      <c r="J88" s="395"/>
      <c r="K88" s="395"/>
      <c r="L88" s="395"/>
    </row>
    <row r="89" spans="1:12" ht="16.5">
      <c r="A89" s="383"/>
      <c r="B89" s="393"/>
      <c r="C89" s="393"/>
      <c r="D89" s="394"/>
      <c r="E89" s="394"/>
      <c r="F89" s="395"/>
      <c r="G89" s="395"/>
      <c r="H89" s="395"/>
      <c r="I89" s="395"/>
      <c r="J89" s="395"/>
      <c r="K89" s="395"/>
      <c r="L89" s="395"/>
    </row>
    <row r="90" spans="1:12" ht="16.5">
      <c r="A90" s="383"/>
      <c r="B90" s="393"/>
      <c r="C90" s="393"/>
      <c r="D90" s="394"/>
      <c r="E90" s="394"/>
      <c r="F90" s="395"/>
      <c r="G90" s="395"/>
      <c r="H90" s="395"/>
      <c r="I90" s="395"/>
      <c r="J90" s="395"/>
      <c r="K90" s="395"/>
      <c r="L90" s="395"/>
    </row>
    <row r="91" spans="1:12" ht="16.5">
      <c r="A91" s="383"/>
      <c r="B91" s="393"/>
      <c r="C91" s="393"/>
      <c r="D91" s="394"/>
      <c r="E91" s="394"/>
      <c r="F91" s="395"/>
      <c r="G91" s="395"/>
      <c r="H91" s="395"/>
      <c r="I91" s="395"/>
      <c r="J91" s="395"/>
      <c r="K91" s="395"/>
      <c r="L91" s="395"/>
    </row>
    <row r="92" spans="1:12" ht="16.5">
      <c r="A92" s="383"/>
      <c r="B92" s="393"/>
      <c r="C92" s="393"/>
      <c r="D92" s="394"/>
      <c r="E92" s="394"/>
      <c r="F92" s="395"/>
      <c r="G92" s="395"/>
      <c r="H92" s="395"/>
      <c r="I92" s="395"/>
      <c r="J92" s="395"/>
      <c r="K92" s="395"/>
      <c r="L92" s="395"/>
    </row>
    <row r="93" spans="1:12" ht="16.5">
      <c r="A93" s="383"/>
      <c r="B93" s="393"/>
      <c r="C93" s="393"/>
      <c r="D93" s="394"/>
      <c r="E93" s="394"/>
      <c r="F93" s="395"/>
      <c r="G93" s="395"/>
      <c r="H93" s="395"/>
      <c r="I93" s="395"/>
      <c r="J93" s="395"/>
      <c r="K93" s="395"/>
      <c r="L93" s="395"/>
    </row>
    <row r="94" spans="1:12" ht="16.5">
      <c r="A94" s="383"/>
      <c r="B94" s="393"/>
      <c r="C94" s="393"/>
      <c r="D94" s="394"/>
      <c r="E94" s="394"/>
      <c r="F94" s="395"/>
      <c r="G94" s="395"/>
      <c r="H94" s="395"/>
      <c r="I94" s="395"/>
      <c r="J94" s="395"/>
      <c r="K94" s="395"/>
      <c r="L94" s="395"/>
    </row>
    <row r="95" spans="1:12" ht="16.5">
      <c r="A95" s="383"/>
      <c r="B95" s="393"/>
      <c r="C95" s="393"/>
      <c r="D95" s="394"/>
      <c r="E95" s="394"/>
      <c r="F95" s="395"/>
      <c r="G95" s="395"/>
      <c r="H95" s="395"/>
      <c r="I95" s="395"/>
      <c r="J95" s="395"/>
      <c r="K95" s="395"/>
      <c r="L95" s="395"/>
    </row>
    <row r="96" spans="1:12" ht="16.5">
      <c r="A96" s="383"/>
      <c r="B96" s="393"/>
      <c r="C96" s="393"/>
      <c r="D96" s="394"/>
      <c r="E96" s="394"/>
      <c r="F96" s="395"/>
      <c r="G96" s="395"/>
      <c r="H96" s="395"/>
      <c r="I96" s="395"/>
      <c r="J96" s="395"/>
      <c r="K96" s="395"/>
      <c r="L96" s="395"/>
    </row>
    <row r="97" spans="1:12" ht="16.5">
      <c r="A97" s="383"/>
      <c r="B97" s="393"/>
      <c r="C97" s="393"/>
      <c r="D97" s="394"/>
      <c r="E97" s="394"/>
      <c r="F97" s="395"/>
      <c r="G97" s="395"/>
      <c r="H97" s="395"/>
      <c r="I97" s="395"/>
      <c r="J97" s="395"/>
      <c r="K97" s="395"/>
      <c r="L97" s="395"/>
    </row>
    <row r="98" spans="1:12" ht="16.5">
      <c r="A98" s="383"/>
      <c r="B98" s="393"/>
      <c r="C98" s="393"/>
      <c r="D98" s="394"/>
      <c r="E98" s="394"/>
      <c r="F98" s="395"/>
      <c r="G98" s="395"/>
      <c r="H98" s="395"/>
      <c r="I98" s="395"/>
      <c r="J98" s="395"/>
      <c r="K98" s="395"/>
      <c r="L98" s="395"/>
    </row>
    <row r="99" spans="1:12" ht="16.5">
      <c r="A99" s="383"/>
      <c r="B99" s="393"/>
      <c r="C99" s="393"/>
      <c r="D99" s="394"/>
      <c r="E99" s="394"/>
      <c r="F99" s="395"/>
      <c r="G99" s="395"/>
      <c r="H99" s="395"/>
      <c r="I99" s="395"/>
      <c r="J99" s="395"/>
      <c r="K99" s="395"/>
      <c r="L99" s="395"/>
    </row>
    <row r="100" spans="1:12" ht="16.5">
      <c r="A100" s="383"/>
      <c r="B100" s="393"/>
      <c r="C100" s="393"/>
      <c r="D100" s="394"/>
      <c r="E100" s="394"/>
      <c r="F100" s="395"/>
      <c r="G100" s="395"/>
      <c r="H100" s="395"/>
      <c r="I100" s="395"/>
      <c r="J100" s="395"/>
      <c r="K100" s="395"/>
      <c r="L100" s="395"/>
    </row>
    <row r="101" spans="1:12" ht="16.5">
      <c r="A101" s="383"/>
      <c r="B101" s="393"/>
      <c r="C101" s="393"/>
      <c r="D101" s="394"/>
      <c r="E101" s="394"/>
      <c r="F101" s="395"/>
      <c r="G101" s="395"/>
      <c r="H101" s="395"/>
      <c r="I101" s="395"/>
      <c r="J101" s="395"/>
      <c r="K101" s="395"/>
      <c r="L101" s="395"/>
    </row>
    <row r="102" spans="1:12" ht="16.5">
      <c r="A102" s="383"/>
      <c r="B102" s="393"/>
      <c r="C102" s="393"/>
      <c r="D102" s="394"/>
      <c r="E102" s="394"/>
      <c r="F102" s="395"/>
      <c r="G102" s="395"/>
      <c r="H102" s="395"/>
      <c r="I102" s="395"/>
      <c r="J102" s="395"/>
      <c r="K102" s="395"/>
      <c r="L102" s="395"/>
    </row>
    <row r="103" spans="1:12" ht="16.5">
      <c r="A103" s="383"/>
      <c r="B103" s="393"/>
      <c r="C103" s="393"/>
      <c r="D103" s="394"/>
      <c r="E103" s="394"/>
      <c r="F103" s="395"/>
      <c r="G103" s="395"/>
      <c r="H103" s="395"/>
      <c r="I103" s="395"/>
      <c r="J103" s="395"/>
      <c r="K103" s="395"/>
      <c r="L103" s="395"/>
    </row>
    <row r="104" spans="1:12" ht="16.5">
      <c r="A104" s="383"/>
      <c r="B104" s="393"/>
      <c r="C104" s="393"/>
      <c r="D104" s="394"/>
      <c r="E104" s="394"/>
      <c r="F104" s="395"/>
      <c r="G104" s="395"/>
      <c r="H104" s="395"/>
      <c r="I104" s="395"/>
      <c r="J104" s="395"/>
      <c r="K104" s="395"/>
      <c r="L104" s="395"/>
    </row>
    <row r="105" spans="1:12" ht="16.5">
      <c r="A105" s="383"/>
      <c r="B105" s="393"/>
      <c r="C105" s="393"/>
      <c r="D105" s="394"/>
      <c r="E105" s="394"/>
      <c r="F105" s="395"/>
      <c r="G105" s="395"/>
      <c r="H105" s="395"/>
      <c r="I105" s="395"/>
      <c r="J105" s="395"/>
      <c r="K105" s="395"/>
      <c r="L105" s="395"/>
    </row>
    <row r="106" spans="1:12" ht="16.5">
      <c r="A106" s="383"/>
      <c r="B106" s="393"/>
      <c r="C106" s="393"/>
      <c r="D106" s="394"/>
      <c r="E106" s="394"/>
      <c r="F106" s="395"/>
      <c r="G106" s="395"/>
      <c r="H106" s="395"/>
      <c r="I106" s="395"/>
      <c r="J106" s="395"/>
      <c r="K106" s="395"/>
      <c r="L106" s="395"/>
    </row>
    <row r="107" spans="1:12" ht="16.5">
      <c r="A107" s="383"/>
      <c r="B107" s="393"/>
      <c r="C107" s="393"/>
      <c r="D107" s="394"/>
      <c r="E107" s="394"/>
      <c r="F107" s="395"/>
      <c r="G107" s="395"/>
      <c r="H107" s="395"/>
      <c r="I107" s="395"/>
      <c r="J107" s="395"/>
      <c r="K107" s="395"/>
      <c r="L107" s="395"/>
    </row>
    <row r="108" spans="1:12" ht="16.5">
      <c r="A108" s="383"/>
      <c r="B108" s="393"/>
      <c r="C108" s="393"/>
      <c r="D108" s="394"/>
      <c r="E108" s="394"/>
      <c r="F108" s="395"/>
      <c r="G108" s="395"/>
      <c r="H108" s="395"/>
      <c r="I108" s="395"/>
      <c r="J108" s="395"/>
      <c r="K108" s="395"/>
      <c r="L108" s="395"/>
    </row>
    <row r="109" spans="1:12" ht="16.5">
      <c r="A109" s="383"/>
      <c r="B109" s="393"/>
      <c r="C109" s="393"/>
      <c r="D109" s="394"/>
      <c r="E109" s="394"/>
      <c r="F109" s="395"/>
      <c r="G109" s="395"/>
      <c r="H109" s="395"/>
      <c r="I109" s="395"/>
      <c r="J109" s="395"/>
      <c r="K109" s="395"/>
      <c r="L109" s="395"/>
    </row>
    <row r="110" spans="1:12" ht="16.5">
      <c r="A110" s="383"/>
      <c r="B110" s="393"/>
      <c r="C110" s="393"/>
      <c r="D110" s="394"/>
      <c r="E110" s="394"/>
      <c r="F110" s="395"/>
      <c r="G110" s="395"/>
      <c r="H110" s="395"/>
      <c r="I110" s="395"/>
      <c r="J110" s="395"/>
      <c r="K110" s="395"/>
      <c r="L110" s="395"/>
    </row>
    <row r="111" spans="1:12" ht="16.5">
      <c r="A111" s="383"/>
      <c r="B111" s="393"/>
      <c r="C111" s="393"/>
      <c r="D111" s="394"/>
      <c r="E111" s="394"/>
      <c r="F111" s="395"/>
      <c r="G111" s="395"/>
      <c r="H111" s="395"/>
      <c r="I111" s="395"/>
      <c r="J111" s="395"/>
      <c r="K111" s="395"/>
      <c r="L111" s="395"/>
    </row>
    <row r="112" spans="1:12" ht="16.5">
      <c r="A112" s="383"/>
      <c r="B112" s="393"/>
      <c r="C112" s="393"/>
      <c r="D112" s="394"/>
      <c r="E112" s="394"/>
      <c r="F112" s="395"/>
      <c r="G112" s="395"/>
      <c r="H112" s="395"/>
      <c r="I112" s="395"/>
      <c r="J112" s="395"/>
      <c r="K112" s="395"/>
      <c r="L112" s="395"/>
    </row>
    <row r="113" spans="1:12" ht="16.5">
      <c r="A113" s="383"/>
      <c r="B113" s="393"/>
      <c r="C113" s="393"/>
      <c r="D113" s="394"/>
      <c r="E113" s="394"/>
      <c r="F113" s="395"/>
      <c r="G113" s="395"/>
      <c r="H113" s="395"/>
      <c r="I113" s="395"/>
      <c r="J113" s="395"/>
      <c r="K113" s="395"/>
      <c r="L113" s="395"/>
    </row>
    <row r="114" spans="1:12" ht="16.5">
      <c r="A114" s="383"/>
      <c r="B114" s="393"/>
      <c r="C114" s="393"/>
      <c r="D114" s="394"/>
      <c r="E114" s="394"/>
      <c r="F114" s="395"/>
      <c r="G114" s="395"/>
      <c r="H114" s="395"/>
      <c r="I114" s="395"/>
      <c r="J114" s="395"/>
      <c r="K114" s="395"/>
      <c r="L114" s="395"/>
    </row>
    <row r="115" spans="1:12" ht="16.5">
      <c r="A115" s="383"/>
      <c r="B115" s="393"/>
      <c r="C115" s="393"/>
      <c r="D115" s="394"/>
      <c r="E115" s="394"/>
      <c r="F115" s="395"/>
      <c r="G115" s="395"/>
      <c r="H115" s="395"/>
      <c r="I115" s="395"/>
      <c r="J115" s="395"/>
      <c r="K115" s="395"/>
      <c r="L115" s="395"/>
    </row>
    <row r="116" spans="1:12" ht="16.5">
      <c r="A116" s="383"/>
      <c r="B116" s="393"/>
      <c r="C116" s="393"/>
      <c r="D116" s="394"/>
      <c r="E116" s="394"/>
      <c r="F116" s="395"/>
      <c r="G116" s="395"/>
      <c r="H116" s="395"/>
      <c r="I116" s="395"/>
      <c r="J116" s="395"/>
      <c r="K116" s="395"/>
      <c r="L116" s="395"/>
    </row>
    <row r="117" spans="1:12" ht="16.5">
      <c r="A117" s="383"/>
      <c r="B117" s="393"/>
      <c r="C117" s="393"/>
      <c r="D117" s="394"/>
      <c r="E117" s="394"/>
      <c r="F117" s="395"/>
      <c r="G117" s="395"/>
      <c r="H117" s="395"/>
      <c r="I117" s="395"/>
      <c r="J117" s="395"/>
      <c r="K117" s="395"/>
      <c r="L117" s="395"/>
    </row>
    <row r="118" spans="1:12" ht="16.5">
      <c r="A118" s="383"/>
      <c r="B118" s="393"/>
      <c r="C118" s="393"/>
      <c r="D118" s="394"/>
      <c r="E118" s="394"/>
      <c r="F118" s="395"/>
      <c r="G118" s="395"/>
      <c r="H118" s="395"/>
      <c r="I118" s="395"/>
      <c r="J118" s="395"/>
      <c r="K118" s="395"/>
      <c r="L118" s="395"/>
    </row>
    <row r="119" spans="1:12" ht="16.5">
      <c r="A119" s="383"/>
      <c r="B119" s="393"/>
      <c r="C119" s="393"/>
      <c r="D119" s="394"/>
      <c r="E119" s="394"/>
      <c r="F119" s="395"/>
      <c r="G119" s="395"/>
      <c r="H119" s="395"/>
      <c r="I119" s="395"/>
      <c r="J119" s="395"/>
      <c r="K119" s="395"/>
      <c r="L119" s="395"/>
    </row>
    <row r="120" spans="1:12" ht="16.5">
      <c r="A120" s="383"/>
      <c r="B120" s="393"/>
      <c r="C120" s="393"/>
      <c r="D120" s="394"/>
      <c r="E120" s="394"/>
      <c r="F120" s="395"/>
      <c r="G120" s="395"/>
      <c r="H120" s="395"/>
      <c r="I120" s="395"/>
      <c r="J120" s="395"/>
      <c r="K120" s="395"/>
      <c r="L120" s="395"/>
    </row>
    <row r="121" spans="1:12" ht="16.5">
      <c r="A121" s="383"/>
      <c r="B121" s="393"/>
      <c r="C121" s="393"/>
      <c r="D121" s="394"/>
      <c r="E121" s="394"/>
      <c r="F121" s="395"/>
      <c r="G121" s="395"/>
      <c r="H121" s="395"/>
      <c r="I121" s="395"/>
      <c r="J121" s="395"/>
      <c r="K121" s="395"/>
      <c r="L121" s="395"/>
    </row>
    <row r="122" spans="1:12" ht="16.5">
      <c r="A122" s="383"/>
      <c r="B122" s="393"/>
      <c r="C122" s="393"/>
      <c r="D122" s="394"/>
      <c r="E122" s="394"/>
      <c r="F122" s="395"/>
      <c r="G122" s="395"/>
      <c r="H122" s="395"/>
      <c r="I122" s="395"/>
      <c r="J122" s="395"/>
      <c r="K122" s="395"/>
      <c r="L122" s="395"/>
    </row>
    <row r="123" spans="1:12" ht="16.5">
      <c r="A123" s="383"/>
      <c r="B123" s="393"/>
      <c r="C123" s="393"/>
      <c r="D123" s="394"/>
      <c r="E123" s="394"/>
      <c r="F123" s="395"/>
      <c r="G123" s="395"/>
      <c r="H123" s="395"/>
      <c r="I123" s="395"/>
      <c r="J123" s="395"/>
      <c r="K123" s="395"/>
      <c r="L123" s="395"/>
    </row>
    <row r="124" spans="1:12" ht="16.5">
      <c r="A124" s="383"/>
      <c r="B124" s="393"/>
      <c r="C124" s="393"/>
      <c r="D124" s="394"/>
      <c r="E124" s="394"/>
      <c r="F124" s="395"/>
      <c r="G124" s="395"/>
      <c r="H124" s="395"/>
      <c r="I124" s="395"/>
      <c r="J124" s="395"/>
      <c r="K124" s="395"/>
      <c r="L124" s="395"/>
    </row>
    <row r="125" spans="1:12" ht="16.5">
      <c r="A125" s="383"/>
      <c r="B125" s="393"/>
      <c r="C125" s="393"/>
      <c r="D125" s="394"/>
      <c r="E125" s="394"/>
      <c r="F125" s="395"/>
      <c r="G125" s="395"/>
      <c r="H125" s="395"/>
      <c r="I125" s="395"/>
      <c r="J125" s="395"/>
      <c r="K125" s="395"/>
      <c r="L125" s="395"/>
    </row>
    <row r="126" spans="1:12" ht="16.5">
      <c r="A126" s="383"/>
      <c r="B126" s="393"/>
      <c r="C126" s="393"/>
      <c r="D126" s="394"/>
      <c r="E126" s="394"/>
      <c r="F126" s="395"/>
      <c r="G126" s="395"/>
      <c r="H126" s="395"/>
      <c r="I126" s="395"/>
      <c r="J126" s="395"/>
      <c r="K126" s="395"/>
      <c r="L126" s="395"/>
    </row>
    <row r="127" spans="1:12" ht="16.5">
      <c r="A127" s="383"/>
      <c r="B127" s="393"/>
      <c r="C127" s="393"/>
      <c r="D127" s="394"/>
      <c r="E127" s="394"/>
      <c r="F127" s="395"/>
      <c r="G127" s="395"/>
      <c r="H127" s="395"/>
      <c r="I127" s="395"/>
      <c r="J127" s="395"/>
      <c r="K127" s="395"/>
      <c r="L127" s="395"/>
    </row>
    <row r="128" spans="1:12" ht="16.5">
      <c r="A128" s="383"/>
      <c r="B128" s="393"/>
      <c r="C128" s="393"/>
      <c r="D128" s="394"/>
      <c r="E128" s="394"/>
      <c r="F128" s="395"/>
      <c r="G128" s="395"/>
      <c r="H128" s="395"/>
      <c r="I128" s="395"/>
      <c r="J128" s="395"/>
      <c r="K128" s="395"/>
      <c r="L128" s="395"/>
    </row>
    <row r="129" spans="1:12" ht="16.5">
      <c r="A129" s="383"/>
      <c r="B129" s="393"/>
      <c r="C129" s="393"/>
      <c r="D129" s="394"/>
      <c r="E129" s="394"/>
      <c r="F129" s="395"/>
      <c r="G129" s="395"/>
      <c r="H129" s="395"/>
      <c r="I129" s="395"/>
      <c r="J129" s="395"/>
      <c r="K129" s="395"/>
      <c r="L129" s="395"/>
    </row>
    <row r="130" spans="1:12" ht="16.5">
      <c r="A130" s="383"/>
      <c r="B130" s="393"/>
      <c r="C130" s="393"/>
      <c r="D130" s="394"/>
      <c r="E130" s="394"/>
      <c r="F130" s="395"/>
      <c r="G130" s="395"/>
      <c r="H130" s="395"/>
      <c r="I130" s="395"/>
      <c r="J130" s="395"/>
      <c r="K130" s="395"/>
      <c r="L130" s="395"/>
    </row>
    <row r="131" spans="1:12" ht="16.5">
      <c r="A131" s="383"/>
      <c r="B131" s="393"/>
      <c r="C131" s="393"/>
      <c r="D131" s="394"/>
      <c r="E131" s="394"/>
      <c r="F131" s="395"/>
      <c r="G131" s="395"/>
      <c r="H131" s="395"/>
      <c r="I131" s="395"/>
      <c r="J131" s="395"/>
      <c r="K131" s="395"/>
      <c r="L131" s="395"/>
    </row>
    <row r="132" spans="1:12" ht="16.5">
      <c r="A132" s="383"/>
      <c r="B132" s="393"/>
      <c r="C132" s="393"/>
      <c r="D132" s="394"/>
      <c r="E132" s="394"/>
      <c r="F132" s="395"/>
      <c r="G132" s="395"/>
      <c r="H132" s="395"/>
      <c r="I132" s="395"/>
      <c r="J132" s="395"/>
      <c r="K132" s="395"/>
      <c r="L132" s="395"/>
    </row>
    <row r="133" spans="1:12" ht="16.5">
      <c r="A133" s="383"/>
      <c r="B133" s="393"/>
      <c r="C133" s="393"/>
      <c r="D133" s="394"/>
      <c r="E133" s="394"/>
      <c r="F133" s="395"/>
      <c r="G133" s="395"/>
      <c r="H133" s="395"/>
      <c r="I133" s="395"/>
      <c r="J133" s="395"/>
      <c r="K133" s="395"/>
      <c r="L133" s="395"/>
    </row>
    <row r="134" spans="1:12" ht="16.5">
      <c r="A134" s="383"/>
      <c r="B134" s="393"/>
      <c r="C134" s="393"/>
      <c r="D134" s="394"/>
      <c r="E134" s="394"/>
      <c r="F134" s="395"/>
      <c r="G134" s="395"/>
      <c r="H134" s="395"/>
      <c r="I134" s="395"/>
      <c r="J134" s="395"/>
      <c r="K134" s="395"/>
      <c r="L134" s="395"/>
    </row>
    <row r="135" spans="1:12" ht="16.5">
      <c r="A135" s="383"/>
      <c r="B135" s="393"/>
      <c r="C135" s="393"/>
      <c r="D135" s="394"/>
      <c r="E135" s="394"/>
      <c r="F135" s="395"/>
      <c r="G135" s="395"/>
      <c r="H135" s="395"/>
      <c r="I135" s="395"/>
      <c r="J135" s="395"/>
      <c r="K135" s="395"/>
      <c r="L135" s="395"/>
    </row>
    <row r="136" spans="1:12" ht="16.5">
      <c r="A136" s="383"/>
      <c r="B136" s="393"/>
      <c r="C136" s="393"/>
      <c r="D136" s="394"/>
      <c r="E136" s="394"/>
      <c r="F136" s="395"/>
      <c r="G136" s="395"/>
      <c r="H136" s="395"/>
      <c r="I136" s="395"/>
      <c r="J136" s="395"/>
      <c r="K136" s="395"/>
      <c r="L136" s="395"/>
    </row>
    <row r="137" spans="1:12" ht="16.5">
      <c r="A137" s="383"/>
      <c r="B137" s="393"/>
      <c r="C137" s="393"/>
      <c r="D137" s="394"/>
      <c r="E137" s="394"/>
      <c r="F137" s="395"/>
      <c r="G137" s="395"/>
      <c r="H137" s="395"/>
      <c r="I137" s="395"/>
      <c r="J137" s="395"/>
      <c r="K137" s="395"/>
      <c r="L137" s="395"/>
    </row>
    <row r="138" spans="1:12" ht="16.5">
      <c r="A138" s="383"/>
      <c r="B138" s="393"/>
      <c r="C138" s="393"/>
      <c r="D138" s="394"/>
      <c r="E138" s="394"/>
      <c r="F138" s="395"/>
      <c r="G138" s="395"/>
      <c r="H138" s="395"/>
      <c r="I138" s="395"/>
      <c r="J138" s="395"/>
      <c r="K138" s="395"/>
      <c r="L138" s="395"/>
    </row>
    <row r="139" spans="1:12" ht="16.5">
      <c r="A139" s="383"/>
      <c r="B139" s="393"/>
      <c r="C139" s="393"/>
      <c r="D139" s="394"/>
      <c r="E139" s="394"/>
      <c r="F139" s="395"/>
      <c r="G139" s="395"/>
      <c r="H139" s="395"/>
      <c r="I139" s="395"/>
      <c r="J139" s="395"/>
      <c r="K139" s="395"/>
      <c r="L139" s="395"/>
    </row>
    <row r="140" spans="1:12" ht="16.5">
      <c r="A140" s="383"/>
      <c r="B140" s="393"/>
      <c r="C140" s="393"/>
      <c r="D140" s="394"/>
      <c r="E140" s="394"/>
      <c r="F140" s="395"/>
      <c r="G140" s="395"/>
      <c r="H140" s="395"/>
      <c r="I140" s="395"/>
      <c r="J140" s="395"/>
      <c r="K140" s="395"/>
      <c r="L140" s="395"/>
    </row>
    <row r="141" spans="1:12" ht="16.5">
      <c r="A141" s="383"/>
      <c r="B141" s="393"/>
      <c r="C141" s="393"/>
      <c r="D141" s="394"/>
      <c r="E141" s="394"/>
      <c r="F141" s="395"/>
      <c r="G141" s="395"/>
      <c r="H141" s="395"/>
      <c r="I141" s="395"/>
      <c r="J141" s="395"/>
      <c r="K141" s="395"/>
      <c r="L141" s="395"/>
    </row>
    <row r="142" spans="1:12" ht="16.5">
      <c r="A142" s="383"/>
      <c r="B142" s="393"/>
      <c r="C142" s="393"/>
      <c r="D142" s="394"/>
      <c r="E142" s="394"/>
      <c r="F142" s="395"/>
      <c r="G142" s="395"/>
      <c r="H142" s="395"/>
      <c r="I142" s="395"/>
      <c r="J142" s="395"/>
      <c r="K142" s="395"/>
      <c r="L142" s="395"/>
    </row>
    <row r="143" spans="1:12" ht="16.5">
      <c r="A143" s="383"/>
      <c r="B143" s="393"/>
      <c r="C143" s="393"/>
      <c r="D143" s="394"/>
      <c r="E143" s="394"/>
      <c r="F143" s="395"/>
      <c r="G143" s="395"/>
      <c r="H143" s="395"/>
      <c r="I143" s="395"/>
      <c r="J143" s="395"/>
      <c r="K143" s="395"/>
      <c r="L143" s="395"/>
    </row>
    <row r="144" spans="1:12" ht="16.5">
      <c r="A144" s="383"/>
      <c r="B144" s="393"/>
      <c r="C144" s="393"/>
      <c r="D144" s="394"/>
      <c r="E144" s="394"/>
      <c r="F144" s="395"/>
      <c r="G144" s="395"/>
      <c r="H144" s="395"/>
      <c r="I144" s="395"/>
      <c r="J144" s="395"/>
      <c r="K144" s="395"/>
      <c r="L144" s="395"/>
    </row>
    <row r="145" spans="1:12" ht="16.5">
      <c r="A145" s="383"/>
      <c r="B145" s="393"/>
      <c r="C145" s="393"/>
      <c r="D145" s="394"/>
      <c r="E145" s="394"/>
      <c r="F145" s="395"/>
      <c r="G145" s="395"/>
      <c r="H145" s="395"/>
      <c r="I145" s="395"/>
      <c r="J145" s="395"/>
      <c r="K145" s="395"/>
      <c r="L145" s="395"/>
    </row>
    <row r="146" spans="1:12" ht="16.5">
      <c r="A146" s="383"/>
      <c r="B146" s="393"/>
      <c r="C146" s="393"/>
      <c r="D146" s="394"/>
      <c r="E146" s="394"/>
      <c r="F146" s="395"/>
      <c r="G146" s="395"/>
      <c r="H146" s="395"/>
      <c r="I146" s="395"/>
      <c r="J146" s="395"/>
      <c r="K146" s="395"/>
      <c r="L146" s="395"/>
    </row>
    <row r="147" spans="1:12" ht="16.5">
      <c r="A147" s="383"/>
      <c r="B147" s="393"/>
      <c r="C147" s="393"/>
      <c r="D147" s="394"/>
      <c r="E147" s="394"/>
      <c r="F147" s="395"/>
      <c r="G147" s="395"/>
      <c r="H147" s="395"/>
      <c r="I147" s="395"/>
      <c r="J147" s="395"/>
      <c r="K147" s="395"/>
      <c r="L147" s="395"/>
    </row>
    <row r="148" spans="1:12" ht="16.5">
      <c r="A148" s="383"/>
      <c r="B148" s="393"/>
      <c r="C148" s="393"/>
      <c r="D148" s="394"/>
      <c r="E148" s="394"/>
      <c r="F148" s="395"/>
      <c r="G148" s="395"/>
      <c r="H148" s="395"/>
      <c r="I148" s="395"/>
      <c r="J148" s="395"/>
      <c r="K148" s="395"/>
      <c r="L148" s="395"/>
    </row>
    <row r="149" spans="1:12" ht="16.5">
      <c r="A149" s="383"/>
      <c r="B149" s="393"/>
      <c r="C149" s="393"/>
      <c r="D149" s="394"/>
      <c r="E149" s="394"/>
      <c r="F149" s="395"/>
      <c r="G149" s="395"/>
      <c r="H149" s="395"/>
      <c r="I149" s="395"/>
      <c r="J149" s="395"/>
      <c r="K149" s="395"/>
      <c r="L149" s="395"/>
    </row>
    <row r="150" spans="1:12" ht="16.5">
      <c r="A150" s="383"/>
      <c r="B150" s="393"/>
      <c r="C150" s="393"/>
      <c r="D150" s="394"/>
      <c r="E150" s="394"/>
      <c r="F150" s="395"/>
      <c r="G150" s="395"/>
      <c r="H150" s="395"/>
      <c r="I150" s="395"/>
      <c r="J150" s="395"/>
      <c r="K150" s="395"/>
      <c r="L150" s="395"/>
    </row>
    <row r="151" spans="1:12" ht="16.5">
      <c r="A151" s="383"/>
      <c r="B151" s="393"/>
      <c r="C151" s="393"/>
      <c r="D151" s="394"/>
      <c r="E151" s="394"/>
      <c r="F151" s="395"/>
      <c r="G151" s="395"/>
      <c r="H151" s="395"/>
      <c r="I151" s="395"/>
      <c r="J151" s="395"/>
      <c r="K151" s="395"/>
      <c r="L151" s="395"/>
    </row>
    <row r="152" spans="1:12" ht="16.5">
      <c r="A152" s="383"/>
      <c r="B152" s="393"/>
      <c r="C152" s="393"/>
      <c r="D152" s="394"/>
      <c r="E152" s="394"/>
      <c r="F152" s="395"/>
      <c r="G152" s="395"/>
      <c r="H152" s="395"/>
      <c r="I152" s="395"/>
      <c r="J152" s="395"/>
      <c r="K152" s="395"/>
      <c r="L152" s="395"/>
    </row>
    <row r="153" spans="1:12" ht="16.5">
      <c r="A153" s="383"/>
      <c r="B153" s="393"/>
      <c r="C153" s="393"/>
      <c r="D153" s="394"/>
      <c r="E153" s="394"/>
      <c r="F153" s="395"/>
      <c r="G153" s="395"/>
      <c r="H153" s="395"/>
      <c r="I153" s="395"/>
      <c r="J153" s="395"/>
      <c r="K153" s="395"/>
      <c r="L153" s="395"/>
    </row>
    <row r="154" spans="1:12" ht="16.5">
      <c r="A154" s="383"/>
      <c r="B154" s="393"/>
      <c r="C154" s="393"/>
      <c r="D154" s="394"/>
      <c r="E154" s="394"/>
      <c r="F154" s="395"/>
      <c r="G154" s="395"/>
      <c r="H154" s="395"/>
      <c r="I154" s="395"/>
      <c r="J154" s="395"/>
      <c r="K154" s="395"/>
      <c r="L154" s="395"/>
    </row>
    <row r="155" spans="1:12" ht="16.5">
      <c r="A155" s="383"/>
      <c r="B155" s="393"/>
      <c r="C155" s="393"/>
      <c r="D155" s="394"/>
      <c r="E155" s="394"/>
      <c r="F155" s="395"/>
      <c r="G155" s="395"/>
      <c r="H155" s="395"/>
      <c r="I155" s="395"/>
      <c r="J155" s="395"/>
      <c r="K155" s="395"/>
      <c r="L155" s="395"/>
    </row>
    <row r="156" spans="1:12" ht="16.5">
      <c r="A156" s="383"/>
      <c r="B156" s="393"/>
      <c r="C156" s="393"/>
      <c r="D156" s="394"/>
      <c r="E156" s="394"/>
      <c r="F156" s="395"/>
      <c r="G156" s="395"/>
      <c r="H156" s="395"/>
      <c r="I156" s="395"/>
      <c r="J156" s="395"/>
      <c r="K156" s="395"/>
      <c r="L156" s="395"/>
    </row>
    <row r="157" spans="1:12" ht="16.5">
      <c r="A157" s="383"/>
      <c r="B157" s="393"/>
      <c r="C157" s="393"/>
      <c r="D157" s="394"/>
      <c r="E157" s="394"/>
      <c r="F157" s="395"/>
      <c r="G157" s="395"/>
      <c r="H157" s="395"/>
      <c r="I157" s="395"/>
      <c r="J157" s="395"/>
      <c r="K157" s="395"/>
      <c r="L157" s="395"/>
    </row>
    <row r="158" spans="1:12" ht="16.5">
      <c r="A158" s="383"/>
      <c r="B158" s="393"/>
      <c r="C158" s="393"/>
      <c r="D158" s="394"/>
      <c r="E158" s="394"/>
      <c r="F158" s="395"/>
      <c r="G158" s="395"/>
      <c r="H158" s="395"/>
      <c r="I158" s="395"/>
      <c r="J158" s="395"/>
      <c r="K158" s="395"/>
      <c r="L158" s="395"/>
    </row>
    <row r="159" spans="1:12" ht="16.5">
      <c r="A159" s="383"/>
      <c r="B159" s="393"/>
      <c r="C159" s="393"/>
      <c r="D159" s="394"/>
      <c r="E159" s="394"/>
      <c r="F159" s="395"/>
      <c r="G159" s="395"/>
      <c r="H159" s="395"/>
      <c r="I159" s="395"/>
      <c r="J159" s="395"/>
      <c r="K159" s="395"/>
      <c r="L159" s="395"/>
    </row>
    <row r="160" spans="1:12" ht="16.5">
      <c r="A160" s="383"/>
      <c r="B160" s="393"/>
      <c r="C160" s="393"/>
      <c r="D160" s="394"/>
      <c r="E160" s="394"/>
      <c r="F160" s="395"/>
      <c r="G160" s="395"/>
      <c r="H160" s="395"/>
      <c r="I160" s="395"/>
      <c r="J160" s="395"/>
      <c r="K160" s="395"/>
      <c r="L160" s="395"/>
    </row>
    <row r="161" spans="1:12" ht="16.5">
      <c r="A161" s="383"/>
      <c r="B161" s="393"/>
      <c r="C161" s="393"/>
      <c r="D161" s="394"/>
      <c r="E161" s="394"/>
      <c r="F161" s="395"/>
      <c r="G161" s="395"/>
      <c r="H161" s="395"/>
      <c r="I161" s="395"/>
      <c r="J161" s="395"/>
      <c r="K161" s="395"/>
      <c r="L161" s="395"/>
    </row>
    <row r="162" spans="1:12" ht="16.5">
      <c r="A162" s="383"/>
      <c r="B162" s="393"/>
      <c r="C162" s="393"/>
      <c r="D162" s="394"/>
      <c r="E162" s="394"/>
      <c r="F162" s="395"/>
      <c r="G162" s="395"/>
      <c r="H162" s="395"/>
      <c r="I162" s="395"/>
      <c r="J162" s="395"/>
      <c r="K162" s="395"/>
      <c r="L162" s="395"/>
    </row>
    <row r="163" spans="1:12" ht="16.5">
      <c r="A163" s="383"/>
      <c r="B163" s="393"/>
      <c r="C163" s="393"/>
      <c r="D163" s="394"/>
      <c r="E163" s="394"/>
      <c r="F163" s="395"/>
      <c r="G163" s="395"/>
      <c r="H163" s="395"/>
      <c r="I163" s="395"/>
      <c r="J163" s="395"/>
      <c r="K163" s="395"/>
      <c r="L163" s="395"/>
    </row>
    <row r="164" spans="1:12" ht="16.5">
      <c r="A164" s="383"/>
      <c r="B164" s="393"/>
      <c r="C164" s="393"/>
      <c r="D164" s="394"/>
      <c r="E164" s="394"/>
      <c r="F164" s="395"/>
      <c r="G164" s="395"/>
      <c r="H164" s="395"/>
      <c r="I164" s="395"/>
      <c r="J164" s="395"/>
      <c r="K164" s="395"/>
      <c r="L164" s="395"/>
    </row>
    <row r="165" spans="1:12" ht="16.5">
      <c r="A165" s="383"/>
      <c r="B165" s="393"/>
      <c r="C165" s="393"/>
      <c r="D165" s="394"/>
      <c r="E165" s="394"/>
      <c r="F165" s="395"/>
      <c r="G165" s="395"/>
      <c r="H165" s="395"/>
      <c r="I165" s="395"/>
      <c r="J165" s="395"/>
      <c r="K165" s="395"/>
      <c r="L165" s="395"/>
    </row>
    <row r="166" spans="1:12" ht="16.5">
      <c r="A166" s="383"/>
      <c r="B166" s="393"/>
      <c r="C166" s="393"/>
      <c r="D166" s="394"/>
      <c r="E166" s="394"/>
      <c r="F166" s="395"/>
      <c r="G166" s="395"/>
      <c r="H166" s="395"/>
      <c r="I166" s="395"/>
      <c r="J166" s="395"/>
      <c r="K166" s="395"/>
      <c r="L166" s="395"/>
    </row>
    <row r="167" spans="1:12" ht="16.5">
      <c r="A167" s="383"/>
      <c r="B167" s="393"/>
      <c r="C167" s="393"/>
      <c r="D167" s="394"/>
      <c r="E167" s="394"/>
      <c r="F167" s="395"/>
      <c r="G167" s="395"/>
      <c r="H167" s="395"/>
      <c r="I167" s="395"/>
      <c r="J167" s="395"/>
      <c r="K167" s="395"/>
      <c r="L167" s="395"/>
    </row>
    <row r="168" spans="1:12" ht="16.5">
      <c r="A168" s="383"/>
      <c r="B168" s="393"/>
      <c r="C168" s="393"/>
      <c r="D168" s="394"/>
      <c r="E168" s="394"/>
      <c r="F168" s="395"/>
      <c r="G168" s="395"/>
      <c r="H168" s="395"/>
      <c r="I168" s="395"/>
      <c r="J168" s="395"/>
      <c r="K168" s="395"/>
      <c r="L168" s="395"/>
    </row>
    <row r="169" spans="1:12" ht="16.5">
      <c r="A169" s="383"/>
      <c r="B169" s="393"/>
      <c r="C169" s="393"/>
      <c r="D169" s="394"/>
      <c r="E169" s="394"/>
      <c r="F169" s="395"/>
      <c r="G169" s="395"/>
      <c r="H169" s="395"/>
      <c r="I169" s="395"/>
      <c r="J169" s="395"/>
      <c r="K169" s="395"/>
      <c r="L169" s="395"/>
    </row>
    <row r="170" spans="1:12" ht="16.5">
      <c r="A170" s="383"/>
      <c r="B170" s="393"/>
      <c r="C170" s="393"/>
      <c r="D170" s="394"/>
      <c r="E170" s="394"/>
      <c r="F170" s="395"/>
      <c r="G170" s="395"/>
      <c r="H170" s="395"/>
      <c r="I170" s="395"/>
      <c r="J170" s="395"/>
      <c r="K170" s="395"/>
      <c r="L170" s="395"/>
    </row>
    <row r="171" spans="1:12" ht="16.5">
      <c r="A171" s="383"/>
      <c r="B171" s="393"/>
      <c r="C171" s="393"/>
      <c r="D171" s="394"/>
      <c r="E171" s="394"/>
      <c r="F171" s="395"/>
      <c r="G171" s="395"/>
      <c r="H171" s="395"/>
      <c r="I171" s="395"/>
      <c r="J171" s="395"/>
      <c r="K171" s="395"/>
      <c r="L171" s="395"/>
    </row>
    <row r="172" spans="1:12" ht="16.5">
      <c r="A172" s="383"/>
      <c r="B172" s="393"/>
      <c r="C172" s="393"/>
      <c r="D172" s="394"/>
      <c r="E172" s="394"/>
      <c r="F172" s="395"/>
      <c r="G172" s="395"/>
      <c r="H172" s="395"/>
      <c r="I172" s="395"/>
      <c r="J172" s="395"/>
      <c r="K172" s="395"/>
      <c r="L172" s="395"/>
    </row>
    <row r="173" spans="1:12" ht="16.5">
      <c r="A173" s="383"/>
      <c r="B173" s="393"/>
      <c r="C173" s="393"/>
      <c r="D173" s="394"/>
      <c r="E173" s="394"/>
      <c r="F173" s="395"/>
      <c r="G173" s="395"/>
      <c r="H173" s="395"/>
      <c r="I173" s="395"/>
      <c r="J173" s="395"/>
      <c r="K173" s="395"/>
      <c r="L173" s="395"/>
    </row>
    <row r="174" spans="1:12" ht="16.5">
      <c r="A174" s="383"/>
      <c r="B174" s="393"/>
      <c r="C174" s="393"/>
      <c r="D174" s="394"/>
      <c r="E174" s="394"/>
      <c r="F174" s="395"/>
      <c r="G174" s="395"/>
      <c r="H174" s="395"/>
      <c r="I174" s="395"/>
      <c r="J174" s="395"/>
      <c r="K174" s="395"/>
      <c r="L174" s="395"/>
    </row>
    <row r="175" spans="1:12" ht="16.5">
      <c r="A175" s="383"/>
      <c r="B175" s="393"/>
      <c r="C175" s="393"/>
      <c r="D175" s="394"/>
      <c r="E175" s="394"/>
      <c r="F175" s="395"/>
      <c r="G175" s="395"/>
      <c r="H175" s="395"/>
      <c r="I175" s="395"/>
      <c r="J175" s="395"/>
      <c r="K175" s="395"/>
      <c r="L175" s="395"/>
    </row>
    <row r="176" spans="1:12" ht="16.5">
      <c r="A176" s="383"/>
      <c r="B176" s="393"/>
      <c r="C176" s="393"/>
      <c r="D176" s="394"/>
      <c r="E176" s="394"/>
      <c r="F176" s="395"/>
      <c r="G176" s="395"/>
      <c r="H176" s="395"/>
      <c r="I176" s="395"/>
      <c r="J176" s="395"/>
      <c r="K176" s="395"/>
      <c r="L176" s="395"/>
    </row>
    <row r="177" spans="1:12" ht="16.5">
      <c r="A177" s="383"/>
      <c r="B177" s="393"/>
      <c r="C177" s="393"/>
      <c r="D177" s="394"/>
      <c r="E177" s="394"/>
      <c r="F177" s="395"/>
      <c r="G177" s="395"/>
      <c r="H177" s="395"/>
      <c r="I177" s="395"/>
      <c r="J177" s="395"/>
      <c r="K177" s="395"/>
      <c r="L177" s="395"/>
    </row>
    <row r="178" spans="1:12" ht="16.5">
      <c r="A178" s="383"/>
      <c r="B178" s="393"/>
      <c r="C178" s="393"/>
      <c r="D178" s="394"/>
      <c r="E178" s="394"/>
      <c r="F178" s="395"/>
      <c r="G178" s="395"/>
      <c r="H178" s="395"/>
      <c r="I178" s="395"/>
      <c r="J178" s="395"/>
      <c r="K178" s="395"/>
      <c r="L178" s="395"/>
    </row>
    <row r="179" spans="1:12" ht="16.5">
      <c r="A179" s="383"/>
      <c r="B179" s="393"/>
      <c r="C179" s="393"/>
      <c r="D179" s="394"/>
      <c r="E179" s="394"/>
      <c r="F179" s="395"/>
      <c r="G179" s="395"/>
      <c r="H179" s="395"/>
      <c r="I179" s="395"/>
      <c r="J179" s="395"/>
      <c r="K179" s="395"/>
      <c r="L179" s="395"/>
    </row>
    <row r="180" spans="1:12" ht="16.5">
      <c r="A180" s="383"/>
      <c r="B180" s="393"/>
      <c r="C180" s="393"/>
      <c r="D180" s="394"/>
      <c r="E180" s="394"/>
      <c r="F180" s="395"/>
      <c r="G180" s="395"/>
      <c r="H180" s="395"/>
      <c r="I180" s="395"/>
      <c r="J180" s="395"/>
      <c r="K180" s="395"/>
      <c r="L180" s="395"/>
    </row>
    <row r="181" spans="1:12" ht="16.5">
      <c r="A181" s="383"/>
      <c r="B181" s="393"/>
      <c r="C181" s="393"/>
      <c r="D181" s="394"/>
      <c r="E181" s="394"/>
      <c r="F181" s="395"/>
      <c r="G181" s="395"/>
      <c r="H181" s="395"/>
      <c r="I181" s="395"/>
      <c r="J181" s="395"/>
      <c r="K181" s="395"/>
      <c r="L181" s="395"/>
    </row>
    <row r="182" spans="1:12" ht="16.5">
      <c r="A182" s="383"/>
      <c r="B182" s="393"/>
      <c r="C182" s="393"/>
      <c r="D182" s="394"/>
      <c r="E182" s="394"/>
      <c r="F182" s="395"/>
      <c r="G182" s="395"/>
      <c r="H182" s="395"/>
      <c r="I182" s="395"/>
      <c r="J182" s="395"/>
      <c r="K182" s="395"/>
      <c r="L182" s="395"/>
    </row>
    <row r="183" spans="1:12" ht="16.5">
      <c r="A183" s="383"/>
      <c r="B183" s="393"/>
      <c r="C183" s="393"/>
      <c r="D183" s="394"/>
      <c r="E183" s="394"/>
      <c r="F183" s="395"/>
      <c r="G183" s="395"/>
      <c r="H183" s="395"/>
      <c r="I183" s="395"/>
      <c r="J183" s="395"/>
      <c r="K183" s="395"/>
      <c r="L183" s="395"/>
    </row>
    <row r="184" spans="1:12" ht="16.5">
      <c r="A184" s="383"/>
      <c r="B184" s="393"/>
      <c r="C184" s="393"/>
      <c r="D184" s="394"/>
      <c r="E184" s="394"/>
      <c r="F184" s="395"/>
      <c r="G184" s="395"/>
      <c r="H184" s="395"/>
      <c r="I184" s="395"/>
      <c r="J184" s="395"/>
      <c r="K184" s="395"/>
      <c r="L184" s="395"/>
    </row>
    <row r="185" spans="1:12" ht="16.5">
      <c r="A185" s="383"/>
      <c r="B185" s="393"/>
      <c r="C185" s="393"/>
      <c r="D185" s="394"/>
      <c r="E185" s="394"/>
      <c r="F185" s="395"/>
      <c r="G185" s="395"/>
      <c r="H185" s="395"/>
      <c r="I185" s="395"/>
      <c r="J185" s="395"/>
      <c r="K185" s="395"/>
      <c r="L185" s="395"/>
    </row>
    <row r="186" spans="1:12" ht="16.5">
      <c r="A186" s="383"/>
      <c r="B186" s="393"/>
      <c r="C186" s="393"/>
      <c r="D186" s="394"/>
      <c r="E186" s="394"/>
      <c r="F186" s="395"/>
      <c r="G186" s="395"/>
      <c r="H186" s="395"/>
      <c r="I186" s="395"/>
      <c r="J186" s="395"/>
      <c r="K186" s="395"/>
      <c r="L186" s="395"/>
    </row>
    <row r="187" spans="1:12" ht="16.5">
      <c r="A187" s="383"/>
      <c r="B187" s="393"/>
      <c r="C187" s="393"/>
      <c r="D187" s="394"/>
      <c r="E187" s="394"/>
      <c r="F187" s="395"/>
      <c r="G187" s="395"/>
      <c r="H187" s="395"/>
      <c r="I187" s="395"/>
      <c r="J187" s="395"/>
      <c r="K187" s="395"/>
      <c r="L187" s="395"/>
    </row>
    <row r="188" spans="1:12" ht="16.5">
      <c r="A188" s="383"/>
      <c r="B188" s="393"/>
      <c r="C188" s="393"/>
      <c r="D188" s="394"/>
      <c r="E188" s="394"/>
      <c r="F188" s="395"/>
      <c r="G188" s="395"/>
      <c r="H188" s="395"/>
      <c r="I188" s="395"/>
      <c r="J188" s="395"/>
      <c r="K188" s="395"/>
      <c r="L188" s="395"/>
    </row>
    <row r="189" spans="1:12" ht="16.5">
      <c r="A189" s="383"/>
      <c r="B189" s="393"/>
      <c r="C189" s="393"/>
      <c r="D189" s="394"/>
      <c r="E189" s="394"/>
      <c r="F189" s="395"/>
      <c r="G189" s="395"/>
      <c r="H189" s="395"/>
      <c r="I189" s="395"/>
      <c r="J189" s="395"/>
      <c r="K189" s="395"/>
      <c r="L189" s="395"/>
    </row>
    <row r="190" spans="1:12" ht="16.5">
      <c r="A190" s="383"/>
      <c r="B190" s="393"/>
      <c r="C190" s="393"/>
      <c r="D190" s="394"/>
      <c r="E190" s="394"/>
      <c r="F190" s="395"/>
      <c r="G190" s="395"/>
      <c r="H190" s="395"/>
      <c r="I190" s="395"/>
      <c r="J190" s="395"/>
      <c r="K190" s="395"/>
      <c r="L190" s="395"/>
    </row>
    <row r="191" spans="1:12" ht="16.5">
      <c r="A191" s="383"/>
      <c r="B191" s="393"/>
      <c r="C191" s="393"/>
      <c r="D191" s="394"/>
      <c r="E191" s="394"/>
      <c r="F191" s="395"/>
      <c r="G191" s="395"/>
      <c r="H191" s="395"/>
      <c r="I191" s="395"/>
      <c r="J191" s="395"/>
      <c r="K191" s="395"/>
      <c r="L191" s="395"/>
    </row>
    <row r="192" spans="1:12" ht="16.5">
      <c r="A192" s="383"/>
      <c r="B192" s="393"/>
      <c r="C192" s="393"/>
      <c r="D192" s="394"/>
      <c r="E192" s="394"/>
      <c r="F192" s="395"/>
      <c r="G192" s="395"/>
      <c r="H192" s="395"/>
      <c r="I192" s="395"/>
      <c r="J192" s="395"/>
      <c r="K192" s="395"/>
      <c r="L192" s="395"/>
    </row>
    <row r="193" spans="1:12" ht="16.5">
      <c r="A193" s="383"/>
      <c r="B193" s="393"/>
      <c r="C193" s="393"/>
      <c r="D193" s="394"/>
      <c r="E193" s="394"/>
      <c r="F193" s="395"/>
      <c r="G193" s="395"/>
      <c r="H193" s="395"/>
      <c r="I193" s="395"/>
      <c r="J193" s="395"/>
      <c r="K193" s="395"/>
      <c r="L193" s="395"/>
    </row>
    <row r="194" spans="1:12" ht="16.5">
      <c r="A194" s="383"/>
      <c r="B194" s="393"/>
      <c r="C194" s="393"/>
      <c r="D194" s="394"/>
      <c r="E194" s="394"/>
      <c r="F194" s="395"/>
      <c r="G194" s="395"/>
      <c r="H194" s="395"/>
      <c r="I194" s="395"/>
      <c r="J194" s="395"/>
      <c r="K194" s="395"/>
      <c r="L194" s="395"/>
    </row>
    <row r="195" spans="1:12" ht="16.5">
      <c r="A195" s="383"/>
      <c r="B195" s="393"/>
      <c r="C195" s="393"/>
      <c r="D195" s="394"/>
      <c r="E195" s="394"/>
      <c r="F195" s="395"/>
      <c r="G195" s="395"/>
      <c r="H195" s="395"/>
      <c r="I195" s="395"/>
      <c r="J195" s="395"/>
      <c r="K195" s="395"/>
      <c r="L195" s="395"/>
    </row>
    <row r="196" spans="1:12" ht="16.5">
      <c r="A196" s="383"/>
      <c r="B196" s="393"/>
      <c r="C196" s="393"/>
      <c r="D196" s="394"/>
      <c r="E196" s="394"/>
      <c r="F196" s="395"/>
      <c r="G196" s="395"/>
      <c r="H196" s="395"/>
      <c r="I196" s="395"/>
      <c r="J196" s="395"/>
      <c r="K196" s="395"/>
      <c r="L196" s="395"/>
    </row>
    <row r="197" spans="1:12" ht="16.5">
      <c r="A197" s="383"/>
      <c r="B197" s="393"/>
      <c r="C197" s="393"/>
      <c r="D197" s="394"/>
      <c r="E197" s="394"/>
      <c r="F197" s="395"/>
      <c r="G197" s="395"/>
      <c r="H197" s="395"/>
      <c r="I197" s="395"/>
      <c r="J197" s="395"/>
      <c r="K197" s="395"/>
      <c r="L197" s="395"/>
    </row>
    <row r="198" spans="1:12" ht="16.5">
      <c r="A198" s="383"/>
      <c r="B198" s="393"/>
      <c r="C198" s="393"/>
      <c r="D198" s="394"/>
      <c r="E198" s="394"/>
      <c r="F198" s="395"/>
      <c r="G198" s="395"/>
      <c r="H198" s="395"/>
      <c r="I198" s="395"/>
      <c r="J198" s="395"/>
      <c r="K198" s="395"/>
      <c r="L198" s="395"/>
    </row>
    <row r="199" spans="1:12" ht="16.5">
      <c r="A199" s="383"/>
      <c r="B199" s="393"/>
      <c r="C199" s="393"/>
      <c r="D199" s="394"/>
      <c r="E199" s="394"/>
      <c r="F199" s="395"/>
      <c r="G199" s="395"/>
      <c r="H199" s="395"/>
      <c r="I199" s="395"/>
      <c r="J199" s="395"/>
      <c r="K199" s="395"/>
      <c r="L199" s="395"/>
    </row>
    <row r="200" spans="1:12" ht="16.5">
      <c r="A200" s="383"/>
      <c r="B200" s="393"/>
      <c r="C200" s="393"/>
      <c r="D200" s="394"/>
      <c r="E200" s="394"/>
      <c r="F200" s="395"/>
      <c r="G200" s="395"/>
      <c r="H200" s="395"/>
      <c r="I200" s="395"/>
      <c r="J200" s="395"/>
      <c r="K200" s="395"/>
      <c r="L200" s="395"/>
    </row>
    <row r="201" spans="1:12" ht="16.5">
      <c r="A201" s="383"/>
      <c r="B201" s="393"/>
      <c r="C201" s="393"/>
      <c r="D201" s="394"/>
      <c r="E201" s="394"/>
      <c r="F201" s="395"/>
      <c r="G201" s="395"/>
      <c r="H201" s="395"/>
      <c r="I201" s="395"/>
      <c r="J201" s="395"/>
      <c r="K201" s="395"/>
      <c r="L201" s="395"/>
    </row>
    <row r="202" spans="1:12" ht="16.5">
      <c r="A202" s="383"/>
      <c r="B202" s="393"/>
      <c r="C202" s="393"/>
      <c r="D202" s="394"/>
      <c r="E202" s="394"/>
      <c r="F202" s="395"/>
      <c r="G202" s="395"/>
      <c r="H202" s="395"/>
      <c r="I202" s="395"/>
      <c r="J202" s="395"/>
      <c r="K202" s="395"/>
      <c r="L202" s="395"/>
    </row>
    <row r="203" spans="1:12" ht="16.5">
      <c r="A203" s="383"/>
      <c r="B203" s="393"/>
      <c r="C203" s="393"/>
      <c r="D203" s="394"/>
      <c r="E203" s="394"/>
      <c r="F203" s="395"/>
      <c r="G203" s="395"/>
      <c r="H203" s="395"/>
      <c r="I203" s="395"/>
      <c r="J203" s="395"/>
      <c r="K203" s="395"/>
      <c r="L203" s="395"/>
    </row>
    <row r="204" spans="1:12" ht="16.5">
      <c r="A204" s="383"/>
      <c r="B204" s="393"/>
      <c r="C204" s="393"/>
      <c r="D204" s="394"/>
      <c r="E204" s="394"/>
      <c r="F204" s="395"/>
      <c r="G204" s="395"/>
      <c r="H204" s="395"/>
      <c r="I204" s="395"/>
      <c r="J204" s="395"/>
      <c r="K204" s="395"/>
      <c r="L204" s="395"/>
    </row>
    <row r="205" spans="1:12" ht="16.5">
      <c r="A205" s="383"/>
      <c r="B205" s="393"/>
      <c r="C205" s="393"/>
      <c r="D205" s="394"/>
      <c r="E205" s="394"/>
      <c r="F205" s="395"/>
      <c r="G205" s="395"/>
      <c r="H205" s="395"/>
      <c r="I205" s="395"/>
      <c r="J205" s="395"/>
      <c r="K205" s="395"/>
      <c r="L205" s="395"/>
    </row>
    <row r="206" spans="1:12" ht="16.5">
      <c r="A206" s="383"/>
      <c r="B206" s="393"/>
      <c r="C206" s="393"/>
      <c r="D206" s="394"/>
      <c r="E206" s="394"/>
      <c r="F206" s="395"/>
      <c r="G206" s="395"/>
      <c r="H206" s="395"/>
      <c r="I206" s="395"/>
      <c r="J206" s="395"/>
      <c r="K206" s="395"/>
      <c r="L206" s="395"/>
    </row>
    <row r="207" spans="1:12" ht="16.5">
      <c r="A207" s="383"/>
      <c r="B207" s="393"/>
      <c r="C207" s="393"/>
      <c r="D207" s="394"/>
      <c r="E207" s="394"/>
      <c r="F207" s="395"/>
      <c r="G207" s="395"/>
      <c r="H207" s="395"/>
      <c r="I207" s="395"/>
      <c r="J207" s="395"/>
      <c r="K207" s="395"/>
      <c r="L207" s="395"/>
    </row>
    <row r="208" spans="1:12" ht="16.5">
      <c r="A208" s="383"/>
      <c r="B208" s="393"/>
      <c r="C208" s="393"/>
      <c r="D208" s="394"/>
      <c r="E208" s="394"/>
      <c r="F208" s="395"/>
      <c r="G208" s="395"/>
      <c r="H208" s="395"/>
      <c r="I208" s="395"/>
      <c r="J208" s="395"/>
      <c r="K208" s="395"/>
      <c r="L208" s="395"/>
    </row>
    <row r="209" spans="1:12" ht="16.5">
      <c r="A209" s="383"/>
      <c r="B209" s="393"/>
      <c r="C209" s="393"/>
      <c r="D209" s="394"/>
      <c r="E209" s="394"/>
      <c r="F209" s="395"/>
      <c r="G209" s="395"/>
      <c r="H209" s="395"/>
      <c r="I209" s="395"/>
      <c r="J209" s="395"/>
      <c r="K209" s="395"/>
      <c r="L209" s="395"/>
    </row>
    <row r="210" spans="1:12" ht="16.5">
      <c r="A210" s="383"/>
      <c r="B210" s="393"/>
      <c r="C210" s="393"/>
      <c r="D210" s="394"/>
      <c r="E210" s="394"/>
      <c r="F210" s="395"/>
      <c r="G210" s="395"/>
      <c r="H210" s="395"/>
      <c r="I210" s="395"/>
      <c r="J210" s="395"/>
      <c r="K210" s="395"/>
      <c r="L210" s="395"/>
    </row>
    <row r="211" spans="1:12" ht="16.5">
      <c r="A211" s="383"/>
      <c r="B211" s="393"/>
      <c r="C211" s="393"/>
      <c r="D211" s="394"/>
      <c r="E211" s="394"/>
      <c r="F211" s="395"/>
      <c r="G211" s="395"/>
      <c r="H211" s="395"/>
      <c r="I211" s="395"/>
      <c r="J211" s="395"/>
      <c r="K211" s="395"/>
      <c r="L211" s="395"/>
    </row>
    <row r="212" spans="1:12" ht="16.5">
      <c r="A212" s="383"/>
      <c r="B212" s="393"/>
      <c r="C212" s="393"/>
      <c r="D212" s="394"/>
      <c r="E212" s="394"/>
      <c r="F212" s="395"/>
      <c r="G212" s="395"/>
      <c r="H212" s="395"/>
      <c r="I212" s="395"/>
      <c r="J212" s="395"/>
      <c r="K212" s="395"/>
      <c r="L212" s="395"/>
    </row>
    <row r="213" spans="1:12" ht="16.5">
      <c r="A213" s="383"/>
      <c r="B213" s="393"/>
      <c r="C213" s="393"/>
      <c r="D213" s="394"/>
      <c r="E213" s="394"/>
      <c r="F213" s="395"/>
      <c r="G213" s="395"/>
      <c r="H213" s="395"/>
      <c r="I213" s="395"/>
      <c r="J213" s="395"/>
      <c r="K213" s="395"/>
      <c r="L213" s="395"/>
    </row>
    <row r="214" spans="1:12" ht="16.5">
      <c r="A214" s="383"/>
      <c r="B214" s="393"/>
      <c r="C214" s="393"/>
      <c r="D214" s="394"/>
      <c r="E214" s="394"/>
      <c r="F214" s="395"/>
      <c r="G214" s="395"/>
      <c r="H214" s="395"/>
      <c r="I214" s="395"/>
      <c r="J214" s="395"/>
      <c r="K214" s="395"/>
      <c r="L214" s="395"/>
    </row>
    <row r="215" spans="1:12" ht="16.5">
      <c r="A215" s="383"/>
      <c r="B215" s="393"/>
      <c r="C215" s="393"/>
      <c r="D215" s="394"/>
      <c r="E215" s="394"/>
      <c r="F215" s="395"/>
      <c r="G215" s="395"/>
      <c r="H215" s="395"/>
      <c r="I215" s="395"/>
      <c r="J215" s="395"/>
      <c r="K215" s="395"/>
      <c r="L215" s="395"/>
    </row>
    <row r="216" spans="1:12" ht="16.5">
      <c r="A216" s="383"/>
      <c r="B216" s="393"/>
      <c r="C216" s="393"/>
      <c r="D216" s="394"/>
      <c r="E216" s="394"/>
      <c r="F216" s="395"/>
      <c r="G216" s="395"/>
      <c r="H216" s="395"/>
      <c r="I216" s="395"/>
      <c r="J216" s="395"/>
      <c r="K216" s="395"/>
      <c r="L216" s="395"/>
    </row>
    <row r="217" spans="1:12" ht="16.5">
      <c r="A217" s="383"/>
      <c r="B217" s="393"/>
      <c r="C217" s="393"/>
      <c r="D217" s="394"/>
      <c r="E217" s="394"/>
      <c r="F217" s="395"/>
      <c r="G217" s="395"/>
      <c r="H217" s="395"/>
      <c r="I217" s="395"/>
      <c r="J217" s="395"/>
      <c r="K217" s="395"/>
      <c r="L217" s="395"/>
    </row>
    <row r="218" spans="1:12" ht="16.5">
      <c r="A218" s="383"/>
      <c r="B218" s="393"/>
      <c r="C218" s="393"/>
      <c r="D218" s="394"/>
      <c r="E218" s="394"/>
      <c r="F218" s="395"/>
      <c r="G218" s="395"/>
      <c r="H218" s="395"/>
      <c r="I218" s="395"/>
      <c r="J218" s="395"/>
      <c r="K218" s="395"/>
      <c r="L218" s="395"/>
    </row>
    <row r="219" spans="1:12" ht="16.5">
      <c r="A219" s="383"/>
      <c r="B219" s="393"/>
      <c r="C219" s="393"/>
      <c r="D219" s="394"/>
      <c r="E219" s="394"/>
      <c r="F219" s="395"/>
      <c r="G219" s="395"/>
      <c r="H219" s="395"/>
      <c r="I219" s="395"/>
      <c r="J219" s="395"/>
      <c r="K219" s="395"/>
      <c r="L219" s="395"/>
    </row>
    <row r="220" spans="1:12" ht="16.5">
      <c r="A220" s="383"/>
      <c r="B220" s="393"/>
      <c r="C220" s="393"/>
      <c r="D220" s="394"/>
      <c r="E220" s="394"/>
      <c r="F220" s="395"/>
      <c r="G220" s="395"/>
      <c r="H220" s="395"/>
      <c r="I220" s="395"/>
      <c r="J220" s="395"/>
      <c r="K220" s="395"/>
      <c r="L220" s="395"/>
    </row>
    <row r="221" spans="1:12" ht="16.5">
      <c r="A221" s="383"/>
      <c r="B221" s="393"/>
      <c r="C221" s="393"/>
      <c r="D221" s="394"/>
      <c r="E221" s="394"/>
      <c r="F221" s="395"/>
      <c r="G221" s="395"/>
      <c r="H221" s="395"/>
      <c r="I221" s="395"/>
      <c r="J221" s="395"/>
      <c r="K221" s="395"/>
      <c r="L221" s="395"/>
    </row>
    <row r="222" spans="1:12" ht="16.5">
      <c r="A222" s="383"/>
      <c r="B222" s="393"/>
      <c r="C222" s="393"/>
      <c r="D222" s="394"/>
      <c r="E222" s="394"/>
      <c r="F222" s="395"/>
      <c r="G222" s="395"/>
      <c r="H222" s="395"/>
      <c r="I222" s="395"/>
      <c r="J222" s="395"/>
      <c r="K222" s="395"/>
      <c r="L222" s="395"/>
    </row>
    <row r="223" spans="1:12" ht="16.5">
      <c r="A223" s="383"/>
      <c r="B223" s="393"/>
      <c r="C223" s="393"/>
      <c r="D223" s="394"/>
      <c r="E223" s="394"/>
      <c r="F223" s="395"/>
      <c r="G223" s="395"/>
      <c r="H223" s="395"/>
      <c r="I223" s="395"/>
      <c r="J223" s="395"/>
      <c r="K223" s="395"/>
      <c r="L223" s="395"/>
    </row>
    <row r="224" spans="1:12" ht="16.5">
      <c r="A224" s="383"/>
      <c r="B224" s="393"/>
      <c r="C224" s="393"/>
      <c r="D224" s="394"/>
      <c r="E224" s="394"/>
      <c r="F224" s="395"/>
      <c r="G224" s="395"/>
      <c r="H224" s="395"/>
      <c r="I224" s="395"/>
      <c r="J224" s="395"/>
      <c r="K224" s="395"/>
      <c r="L224" s="395"/>
    </row>
    <row r="225" spans="1:12" ht="16.5">
      <c r="A225" s="383"/>
      <c r="B225" s="393"/>
      <c r="C225" s="393"/>
      <c r="D225" s="394"/>
      <c r="E225" s="394"/>
      <c r="F225" s="395"/>
      <c r="G225" s="395"/>
      <c r="H225" s="395"/>
      <c r="I225" s="395"/>
      <c r="J225" s="395"/>
      <c r="K225" s="395"/>
      <c r="L225" s="395"/>
    </row>
    <row r="226" spans="1:12" ht="16.5">
      <c r="A226" s="383"/>
      <c r="B226" s="393"/>
      <c r="C226" s="393"/>
      <c r="D226" s="394"/>
      <c r="E226" s="394"/>
      <c r="F226" s="395"/>
      <c r="G226" s="395"/>
      <c r="H226" s="395"/>
      <c r="I226" s="395"/>
      <c r="J226" s="395"/>
      <c r="K226" s="395"/>
      <c r="L226" s="395"/>
    </row>
    <row r="227" spans="1:12" ht="16.5">
      <c r="A227" s="383"/>
      <c r="B227" s="393"/>
      <c r="C227" s="393"/>
      <c r="D227" s="394"/>
      <c r="E227" s="394"/>
      <c r="F227" s="395"/>
      <c r="G227" s="395"/>
      <c r="H227" s="395"/>
      <c r="I227" s="395"/>
      <c r="J227" s="395"/>
      <c r="K227" s="395"/>
      <c r="L227" s="395"/>
    </row>
    <row r="228" spans="1:12" ht="16.5">
      <c r="A228" s="383"/>
      <c r="B228" s="393"/>
      <c r="C228" s="393"/>
      <c r="D228" s="394"/>
      <c r="E228" s="394"/>
      <c r="F228" s="395"/>
      <c r="G228" s="395"/>
      <c r="H228" s="395"/>
      <c r="I228" s="395"/>
      <c r="J228" s="395"/>
      <c r="K228" s="395"/>
      <c r="L228" s="395"/>
    </row>
    <row r="229" spans="1:12" ht="16.5">
      <c r="A229" s="383"/>
      <c r="B229" s="393"/>
      <c r="C229" s="393"/>
      <c r="D229" s="394"/>
      <c r="E229" s="394"/>
      <c r="F229" s="395"/>
      <c r="G229" s="395"/>
      <c r="H229" s="395"/>
      <c r="I229" s="395"/>
      <c r="J229" s="395"/>
      <c r="K229" s="395"/>
      <c r="L229" s="395"/>
    </row>
    <row r="230" spans="1:12" ht="16.5">
      <c r="A230" s="383"/>
      <c r="B230" s="393"/>
      <c r="C230" s="393"/>
      <c r="D230" s="394"/>
      <c r="E230" s="394"/>
      <c r="F230" s="395"/>
      <c r="G230" s="395"/>
      <c r="H230" s="395"/>
      <c r="I230" s="395"/>
      <c r="J230" s="395"/>
      <c r="K230" s="395"/>
      <c r="L230" s="395"/>
    </row>
    <row r="231" spans="1:12" ht="16.5">
      <c r="A231" s="383"/>
      <c r="B231" s="393"/>
      <c r="C231" s="393"/>
      <c r="D231" s="394"/>
      <c r="E231" s="394"/>
      <c r="F231" s="395"/>
      <c r="G231" s="395"/>
      <c r="H231" s="395"/>
      <c r="I231" s="395"/>
      <c r="J231" s="395"/>
      <c r="K231" s="395"/>
      <c r="L231" s="395"/>
    </row>
    <row r="232" spans="1:12" ht="16.5">
      <c r="A232" s="383"/>
      <c r="B232" s="393"/>
      <c r="C232" s="393"/>
      <c r="D232" s="394"/>
      <c r="E232" s="394"/>
      <c r="F232" s="395"/>
      <c r="G232" s="395"/>
      <c r="H232" s="395"/>
      <c r="I232" s="395"/>
      <c r="J232" s="395"/>
      <c r="K232" s="395"/>
      <c r="L232" s="395"/>
    </row>
    <row r="233" spans="1:12" ht="16.5">
      <c r="A233" s="383"/>
      <c r="B233" s="393"/>
      <c r="C233" s="393"/>
      <c r="D233" s="394"/>
      <c r="E233" s="394"/>
      <c r="F233" s="395"/>
      <c r="G233" s="395"/>
      <c r="H233" s="395"/>
      <c r="I233" s="395"/>
      <c r="J233" s="395"/>
      <c r="K233" s="395"/>
      <c r="L233" s="395"/>
    </row>
    <row r="234" spans="1:12" ht="16.5">
      <c r="A234" s="383"/>
      <c r="B234" s="393"/>
      <c r="C234" s="393"/>
      <c r="D234" s="394"/>
      <c r="E234" s="394"/>
      <c r="F234" s="395"/>
      <c r="G234" s="395"/>
      <c r="H234" s="395"/>
      <c r="I234" s="395"/>
      <c r="J234" s="395"/>
      <c r="K234" s="395"/>
      <c r="L234" s="395"/>
    </row>
    <row r="235" spans="1:12" ht="16.5">
      <c r="A235" s="383"/>
      <c r="B235" s="393"/>
      <c r="C235" s="393"/>
      <c r="D235" s="394"/>
      <c r="E235" s="394"/>
      <c r="F235" s="395"/>
      <c r="G235" s="395"/>
      <c r="H235" s="395"/>
      <c r="I235" s="395"/>
      <c r="J235" s="395"/>
      <c r="K235" s="395"/>
      <c r="L235" s="395"/>
    </row>
    <row r="236" spans="1:12" ht="16.5">
      <c r="A236" s="383"/>
      <c r="B236" s="393"/>
      <c r="C236" s="393"/>
      <c r="D236" s="394"/>
      <c r="E236" s="394"/>
      <c r="F236" s="395"/>
      <c r="G236" s="395"/>
      <c r="H236" s="395"/>
      <c r="I236" s="395"/>
      <c r="J236" s="395"/>
      <c r="K236" s="395"/>
      <c r="L236" s="395"/>
    </row>
    <row r="237" spans="1:12" ht="16.5">
      <c r="A237" s="383"/>
      <c r="B237" s="393"/>
      <c r="C237" s="393"/>
      <c r="D237" s="394"/>
      <c r="E237" s="394"/>
      <c r="F237" s="395"/>
      <c r="G237" s="395"/>
      <c r="H237" s="395"/>
      <c r="I237" s="395"/>
      <c r="J237" s="395"/>
      <c r="K237" s="395"/>
      <c r="L237" s="395"/>
    </row>
    <row r="238" spans="1:12" ht="16.5">
      <c r="A238" s="383"/>
      <c r="B238" s="393"/>
      <c r="C238" s="393"/>
      <c r="D238" s="394"/>
      <c r="E238" s="394"/>
      <c r="F238" s="395"/>
      <c r="G238" s="395"/>
      <c r="H238" s="395"/>
      <c r="I238" s="395"/>
      <c r="J238" s="395"/>
      <c r="K238" s="395"/>
      <c r="L238" s="395"/>
    </row>
    <row r="239" spans="1:12" ht="16.5">
      <c r="A239" s="383"/>
      <c r="B239" s="393"/>
      <c r="C239" s="393"/>
      <c r="D239" s="394"/>
      <c r="E239" s="394"/>
      <c r="F239" s="395"/>
      <c r="G239" s="395"/>
      <c r="H239" s="395"/>
      <c r="I239" s="395"/>
      <c r="J239" s="395"/>
      <c r="K239" s="395"/>
      <c r="L239" s="395"/>
    </row>
    <row r="240" spans="1:12" ht="16.5">
      <c r="A240" s="383"/>
      <c r="B240" s="393"/>
      <c r="C240" s="393"/>
      <c r="D240" s="394"/>
      <c r="E240" s="394"/>
      <c r="F240" s="395"/>
      <c r="G240" s="395"/>
      <c r="H240" s="395"/>
      <c r="I240" s="395"/>
      <c r="J240" s="395"/>
      <c r="K240" s="395"/>
      <c r="L240" s="395"/>
    </row>
    <row r="241" spans="1:12" ht="16.5">
      <c r="A241" s="383"/>
      <c r="B241" s="393"/>
      <c r="C241" s="393"/>
      <c r="D241" s="394"/>
      <c r="E241" s="394"/>
      <c r="F241" s="395"/>
      <c r="G241" s="395"/>
      <c r="H241" s="395"/>
      <c r="I241" s="395"/>
      <c r="J241" s="395"/>
      <c r="K241" s="395"/>
      <c r="L241" s="395"/>
    </row>
    <row r="242" spans="1:12" ht="16.5">
      <c r="A242" s="383"/>
      <c r="B242" s="393"/>
      <c r="C242" s="393"/>
      <c r="D242" s="394"/>
      <c r="E242" s="394"/>
      <c r="F242" s="395"/>
      <c r="G242" s="395"/>
      <c r="H242" s="395"/>
      <c r="I242" s="395"/>
      <c r="J242" s="395"/>
      <c r="K242" s="395"/>
      <c r="L242" s="395"/>
    </row>
    <row r="243" spans="1:12" ht="16.5">
      <c r="A243" s="383"/>
      <c r="B243" s="393"/>
      <c r="C243" s="393"/>
      <c r="D243" s="394"/>
      <c r="E243" s="394"/>
      <c r="F243" s="395"/>
      <c r="G243" s="395"/>
      <c r="H243" s="395"/>
      <c r="I243" s="395"/>
      <c r="J243" s="395"/>
      <c r="K243" s="395"/>
      <c r="L243" s="395"/>
    </row>
    <row r="244" spans="1:12" ht="16.5">
      <c r="A244" s="383"/>
      <c r="B244" s="393"/>
      <c r="C244" s="393"/>
      <c r="D244" s="394"/>
      <c r="E244" s="394"/>
      <c r="F244" s="395"/>
      <c r="G244" s="395"/>
      <c r="H244" s="395"/>
      <c r="I244" s="395"/>
      <c r="J244" s="395"/>
      <c r="K244" s="395"/>
      <c r="L244" s="395"/>
    </row>
    <row r="245" spans="1:12" ht="16.5">
      <c r="A245" s="383"/>
      <c r="B245" s="393"/>
      <c r="C245" s="393"/>
      <c r="D245" s="394"/>
      <c r="E245" s="394"/>
      <c r="F245" s="395"/>
      <c r="G245" s="395"/>
      <c r="H245" s="395"/>
      <c r="I245" s="395"/>
      <c r="J245" s="395"/>
      <c r="K245" s="395"/>
      <c r="L245" s="395"/>
    </row>
    <row r="246" spans="1:12" ht="16.5">
      <c r="A246" s="383"/>
      <c r="B246" s="393"/>
      <c r="C246" s="393"/>
      <c r="D246" s="394"/>
      <c r="E246" s="394"/>
      <c r="F246" s="395"/>
      <c r="G246" s="395"/>
      <c r="H246" s="395"/>
      <c r="I246" s="395"/>
      <c r="J246" s="395"/>
      <c r="K246" s="395"/>
      <c r="L246" s="395"/>
    </row>
    <row r="247" spans="1:12" ht="16.5">
      <c r="A247" s="383"/>
      <c r="B247" s="393"/>
      <c r="C247" s="393"/>
      <c r="D247" s="394"/>
      <c r="E247" s="394"/>
      <c r="F247" s="395"/>
      <c r="G247" s="395"/>
      <c r="H247" s="395"/>
      <c r="I247" s="395"/>
      <c r="J247" s="395"/>
      <c r="K247" s="395"/>
      <c r="L247" s="395"/>
    </row>
    <row r="248" spans="1:12" ht="16.5">
      <c r="A248" s="383"/>
      <c r="B248" s="393"/>
      <c r="C248" s="393"/>
      <c r="D248" s="394"/>
      <c r="E248" s="394"/>
      <c r="F248" s="395"/>
      <c r="G248" s="395"/>
      <c r="H248" s="395"/>
      <c r="I248" s="395"/>
      <c r="J248" s="395"/>
      <c r="K248" s="395"/>
      <c r="L248" s="395"/>
    </row>
  </sheetData>
  <sheetProtection/>
  <mergeCells count="4">
    <mergeCell ref="A3:L3"/>
    <mergeCell ref="B32:D32"/>
    <mergeCell ref="K1:L1"/>
    <mergeCell ref="B2:L2"/>
  </mergeCells>
  <printOptions horizontalCentered="1"/>
  <pageMargins left="0.708661417322835" right="0.47244094488189" top="0.748031496062992" bottom="0.78" header="0.511811023622047" footer="0.39"/>
  <pageSetup fitToHeight="0" fitToWidth="1" horizontalDpi="600" verticalDpi="600" orientation="landscape" paperSize="9" scale="72" r:id="rId3"/>
  <headerFooter alignWithMargins="0">
    <oddFooter>&amp;R&amp;"Times New Roman,Regular"&amp;12&amp;P/&amp;N</oddFoot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Y242"/>
  <sheetViews>
    <sheetView view="pageBreakPreview" zoomScale="70" zoomScaleNormal="70" zoomScaleSheetLayoutView="70" zoomScalePageLayoutView="0" workbookViewId="0" topLeftCell="A1">
      <selection activeCell="J18" sqref="J18"/>
    </sheetView>
  </sheetViews>
  <sheetFormatPr defaultColWidth="9.140625" defaultRowHeight="12.75"/>
  <cols>
    <col min="1" max="1" width="5.8515625" style="369" customWidth="1"/>
    <col min="2" max="2" width="38.57421875" style="365" customWidth="1"/>
    <col min="3" max="3" width="14.57421875" style="366" customWidth="1"/>
    <col min="4" max="4" width="16.00390625" style="365" customWidth="1"/>
    <col min="5" max="5" width="12.140625" style="366" customWidth="1"/>
    <col min="6" max="7" width="13.421875" style="364" customWidth="1"/>
    <col min="8" max="8" width="12.421875" style="364" customWidth="1"/>
    <col min="9" max="9" width="12.57421875" style="364" customWidth="1"/>
    <col min="10" max="10" width="13.7109375" style="364" customWidth="1"/>
    <col min="11" max="11" width="17.57421875" style="364" customWidth="1"/>
    <col min="12" max="12" width="20.57421875" style="364" customWidth="1"/>
    <col min="13" max="13" width="23.140625" style="364" customWidth="1"/>
    <col min="14" max="17" width="9.140625" style="364" hidden="1" customWidth="1"/>
    <col min="18" max="18" width="10.8515625" style="364" hidden="1" customWidth="1"/>
    <col min="19" max="19" width="19.140625" style="364" customWidth="1"/>
    <col min="20" max="24" width="14.00390625" style="364" customWidth="1"/>
    <col min="25" max="16384" width="9.140625" style="364" customWidth="1"/>
  </cols>
  <sheetData>
    <row r="1" spans="1:12" ht="36.75" customHeight="1">
      <c r="A1" s="364"/>
      <c r="B1" s="781" t="s">
        <v>376</v>
      </c>
      <c r="J1" s="378" t="s">
        <v>357</v>
      </c>
      <c r="K1" s="1321" t="s">
        <v>358</v>
      </c>
      <c r="L1" s="1321"/>
    </row>
    <row r="2" spans="1:12" ht="36.75" customHeight="1">
      <c r="A2" s="364"/>
      <c r="B2" s="1322" t="s">
        <v>463</v>
      </c>
      <c r="C2" s="1322"/>
      <c r="D2" s="1322"/>
      <c r="E2" s="1322"/>
      <c r="F2" s="1322"/>
      <c r="G2" s="1322"/>
      <c r="H2" s="1322"/>
      <c r="I2" s="1322"/>
      <c r="J2" s="1322"/>
      <c r="K2" s="1322"/>
      <c r="L2" s="1322"/>
    </row>
    <row r="3" spans="1:19" ht="50.25" customHeight="1">
      <c r="A3" s="1323" t="s">
        <v>434</v>
      </c>
      <c r="B3" s="1319"/>
      <c r="C3" s="1319"/>
      <c r="D3" s="1319"/>
      <c r="E3" s="1319"/>
      <c r="F3" s="1319"/>
      <c r="G3" s="1319"/>
      <c r="H3" s="1319"/>
      <c r="I3" s="1319"/>
      <c r="J3" s="1319"/>
      <c r="K3" s="1319"/>
      <c r="L3" s="1319"/>
      <c r="S3" s="364">
        <f>(-1.7+0.8)/5</f>
        <v>-0.18</v>
      </c>
    </row>
    <row r="4" spans="1:12" ht="24" customHeight="1">
      <c r="A4" s="383"/>
      <c r="B4" s="393"/>
      <c r="C4" s="394"/>
      <c r="D4" s="393"/>
      <c r="E4" s="394"/>
      <c r="F4" s="395"/>
      <c r="G4" s="395"/>
      <c r="H4" s="395"/>
      <c r="I4" s="395"/>
      <c r="J4" s="395"/>
      <c r="K4" s="395"/>
      <c r="L4" s="395"/>
    </row>
    <row r="5" spans="1:19" s="367" customFormat="1" ht="66">
      <c r="A5" s="404" t="s">
        <v>0</v>
      </c>
      <c r="B5" s="404" t="s">
        <v>287</v>
      </c>
      <c r="C5" s="404" t="s">
        <v>184</v>
      </c>
      <c r="D5" s="385" t="s">
        <v>297</v>
      </c>
      <c r="E5" s="384" t="s">
        <v>464</v>
      </c>
      <c r="F5" s="384" t="s">
        <v>298</v>
      </c>
      <c r="G5" s="384" t="s">
        <v>299</v>
      </c>
      <c r="H5" s="384" t="s">
        <v>300</v>
      </c>
      <c r="I5" s="384" t="s">
        <v>799</v>
      </c>
      <c r="J5" s="384" t="s">
        <v>301</v>
      </c>
      <c r="K5" s="384" t="s">
        <v>302</v>
      </c>
      <c r="L5" s="384" t="s">
        <v>410</v>
      </c>
      <c r="M5" s="372"/>
      <c r="N5" s="372"/>
      <c r="O5" s="372"/>
      <c r="P5" s="372"/>
      <c r="Q5" s="372"/>
      <c r="R5" s="372"/>
      <c r="S5" s="372"/>
    </row>
    <row r="6" spans="1:25" s="363" customFormat="1" ht="36.75" customHeight="1">
      <c r="A6" s="387" t="s">
        <v>3</v>
      </c>
      <c r="B6" s="388" t="s">
        <v>339</v>
      </c>
      <c r="C6" s="384"/>
      <c r="D6" s="576"/>
      <c r="E6" s="513"/>
      <c r="F6" s="501"/>
      <c r="G6" s="514"/>
      <c r="H6" s="514"/>
      <c r="I6" s="514"/>
      <c r="J6" s="514"/>
      <c r="K6" s="514"/>
      <c r="L6" s="386"/>
      <c r="M6" s="582"/>
      <c r="N6" s="372"/>
      <c r="O6" s="372"/>
      <c r="P6" s="372"/>
      <c r="Q6" s="372"/>
      <c r="R6" s="372"/>
      <c r="S6" s="372"/>
      <c r="T6" s="372"/>
      <c r="V6" s="373"/>
      <c r="W6" s="372"/>
      <c r="Y6" s="373"/>
    </row>
    <row r="7" spans="1:25" ht="35.25" customHeight="1">
      <c r="A7" s="389"/>
      <c r="B7" s="390" t="s">
        <v>319</v>
      </c>
      <c r="C7" s="406" t="s">
        <v>337</v>
      </c>
      <c r="D7" s="577">
        <v>578733</v>
      </c>
      <c r="E7" s="515">
        <v>501163</v>
      </c>
      <c r="F7" s="487">
        <v>510778</v>
      </c>
      <c r="G7" s="487">
        <v>519663</v>
      </c>
      <c r="H7" s="1146">
        <v>528465</v>
      </c>
      <c r="I7" s="1146">
        <v>538069</v>
      </c>
      <c r="J7" s="1146">
        <v>547378</v>
      </c>
      <c r="K7" s="1147">
        <v>547378</v>
      </c>
      <c r="L7" s="1153" t="s">
        <v>36</v>
      </c>
      <c r="M7" s="581">
        <f>F9*G9*H9*I9*J9^1/5</f>
        <v>-0.004200000000000001</v>
      </c>
      <c r="N7" s="372"/>
      <c r="O7" s="372"/>
      <c r="P7" s="372"/>
      <c r="Q7" s="372"/>
      <c r="R7" s="372"/>
      <c r="S7" s="372"/>
      <c r="T7" s="371">
        <f>(J7-I7)/I7*100</f>
        <v>1.730075510761631</v>
      </c>
      <c r="V7" s="370"/>
      <c r="W7" s="371"/>
      <c r="Y7" s="370"/>
    </row>
    <row r="8" spans="1:25" ht="29.25" customHeight="1">
      <c r="A8" s="389"/>
      <c r="B8" s="390" t="s">
        <v>320</v>
      </c>
      <c r="C8" s="406" t="s">
        <v>337</v>
      </c>
      <c r="D8" s="577">
        <v>489319</v>
      </c>
      <c r="E8" s="515">
        <v>425988</v>
      </c>
      <c r="F8" s="516">
        <v>434127</v>
      </c>
      <c r="G8" s="516">
        <v>441643</v>
      </c>
      <c r="H8" s="1147">
        <v>448748</v>
      </c>
      <c r="I8" s="1147">
        <v>456874</v>
      </c>
      <c r="J8" s="1147">
        <v>464782</v>
      </c>
      <c r="K8" s="1147">
        <v>464782</v>
      </c>
      <c r="L8" s="1153" t="s">
        <v>36</v>
      </c>
      <c r="M8" s="372"/>
      <c r="N8" s="372"/>
      <c r="O8" s="372"/>
      <c r="P8" s="372"/>
      <c r="Q8" s="372"/>
      <c r="R8" s="372"/>
      <c r="S8" s="372"/>
      <c r="T8" s="771"/>
      <c r="U8" s="772"/>
      <c r="V8" s="770"/>
      <c r="W8" s="771"/>
      <c r="X8" s="772"/>
      <c r="Y8" s="370"/>
    </row>
    <row r="9" spans="1:23" s="368" customFormat="1" ht="33" customHeight="1">
      <c r="A9" s="412"/>
      <c r="B9" s="417" t="s">
        <v>338</v>
      </c>
      <c r="C9" s="392" t="s">
        <v>395</v>
      </c>
      <c r="D9" s="578">
        <v>0.56</v>
      </c>
      <c r="E9" s="573" t="s">
        <v>535</v>
      </c>
      <c r="F9" s="574" t="s">
        <v>532</v>
      </c>
      <c r="G9" s="574" t="s">
        <v>531</v>
      </c>
      <c r="H9" s="1154" t="s">
        <v>529</v>
      </c>
      <c r="I9" s="1154" t="s">
        <v>530</v>
      </c>
      <c r="J9" s="1154" t="s">
        <v>801</v>
      </c>
      <c r="K9" s="1150">
        <v>0.16</v>
      </c>
      <c r="L9" s="1153" t="s">
        <v>42</v>
      </c>
      <c r="M9" s="372"/>
      <c r="N9" s="372"/>
      <c r="O9" s="372"/>
      <c r="P9" s="372"/>
      <c r="Q9" s="372"/>
      <c r="R9" s="372"/>
      <c r="S9" s="372"/>
      <c r="W9" s="575"/>
    </row>
    <row r="10" spans="1:23" s="368" customFormat="1" ht="39" customHeight="1">
      <c r="A10" s="412"/>
      <c r="B10" s="417" t="s">
        <v>433</v>
      </c>
      <c r="C10" s="392" t="s">
        <v>291</v>
      </c>
      <c r="D10" s="578">
        <v>2.78</v>
      </c>
      <c r="E10" s="518">
        <v>2.12</v>
      </c>
      <c r="F10" s="517">
        <v>1.92</v>
      </c>
      <c r="G10" s="517">
        <v>1.74</v>
      </c>
      <c r="H10" s="1150">
        <v>1.69</v>
      </c>
      <c r="I10" s="1150">
        <v>1.82</v>
      </c>
      <c r="J10" s="1150">
        <v>1.73</v>
      </c>
      <c r="K10" s="1150">
        <v>1.73</v>
      </c>
      <c r="L10" s="1153" t="s">
        <v>36</v>
      </c>
      <c r="M10" s="372"/>
      <c r="N10" s="372"/>
      <c r="O10" s="372"/>
      <c r="P10" s="372"/>
      <c r="Q10" s="372"/>
      <c r="R10" s="372"/>
      <c r="S10" s="372"/>
      <c r="T10" s="364">
        <v>270649</v>
      </c>
      <c r="U10" s="364">
        <v>277353</v>
      </c>
      <c r="V10" s="364">
        <v>282149</v>
      </c>
      <c r="W10" s="492">
        <v>287436</v>
      </c>
    </row>
    <row r="11" spans="1:25" s="363" customFormat="1" ht="32.25" customHeight="1">
      <c r="A11" s="387" t="s">
        <v>11</v>
      </c>
      <c r="B11" s="385" t="s">
        <v>340</v>
      </c>
      <c r="C11" s="384"/>
      <c r="D11" s="579"/>
      <c r="E11" s="498"/>
      <c r="F11" s="516"/>
      <c r="G11" s="516"/>
      <c r="H11" s="516"/>
      <c r="I11" s="516"/>
      <c r="J11" s="516"/>
      <c r="K11" s="519"/>
      <c r="L11" s="387"/>
      <c r="S11" s="363" t="s">
        <v>520</v>
      </c>
      <c r="U11" s="516">
        <v>275346</v>
      </c>
      <c r="V11" s="516">
        <v>280366</v>
      </c>
      <c r="W11" s="516">
        <v>285586</v>
      </c>
      <c r="X11" s="516">
        <v>289635</v>
      </c>
      <c r="Y11" s="516">
        <v>293740</v>
      </c>
    </row>
    <row r="12" spans="1:25" s="484" customFormat="1" ht="36.75" customHeight="1">
      <c r="A12" s="494">
        <v>1</v>
      </c>
      <c r="B12" s="479" t="s">
        <v>321</v>
      </c>
      <c r="C12" s="480" t="s">
        <v>337</v>
      </c>
      <c r="D12" s="520"/>
      <c r="E12" s="520">
        <v>270649</v>
      </c>
      <c r="F12" s="520">
        <v>277353</v>
      </c>
      <c r="G12" s="520">
        <v>282149</v>
      </c>
      <c r="H12" s="1147">
        <v>289492</v>
      </c>
      <c r="I12" s="1147">
        <v>295393</v>
      </c>
      <c r="J12" s="1147">
        <v>302203</v>
      </c>
      <c r="K12" s="1147">
        <f>J12</f>
        <v>302203</v>
      </c>
      <c r="L12" s="494"/>
      <c r="S12" s="484" t="s">
        <v>519</v>
      </c>
      <c r="U12" s="484">
        <f>U13+U15+U17</f>
        <v>275346</v>
      </c>
      <c r="V12" s="484">
        <f>V13+V15+V17</f>
        <v>280366</v>
      </c>
      <c r="W12" s="484">
        <f>W13+W15+W17</f>
        <v>285586</v>
      </c>
      <c r="X12" s="484">
        <f>X13+X15+X17</f>
        <v>289635</v>
      </c>
      <c r="Y12" s="484">
        <f>Y13+Y15+Y17</f>
        <v>293740</v>
      </c>
    </row>
    <row r="13" spans="1:25" s="484" customFormat="1" ht="44.25" customHeight="1">
      <c r="A13" s="494">
        <v>2</v>
      </c>
      <c r="B13" s="479" t="s">
        <v>322</v>
      </c>
      <c r="C13" s="480" t="s">
        <v>337</v>
      </c>
      <c r="D13" s="999">
        <v>317724</v>
      </c>
      <c r="E13" s="1000">
        <v>268404</v>
      </c>
      <c r="F13" s="520">
        <v>275346</v>
      </c>
      <c r="G13" s="520">
        <v>280366</v>
      </c>
      <c r="H13" s="1147">
        <v>286755</v>
      </c>
      <c r="I13" s="1147">
        <v>293448</v>
      </c>
      <c r="J13" s="1147">
        <v>300297</v>
      </c>
      <c r="K13" s="1147">
        <f>J13</f>
        <v>300297</v>
      </c>
      <c r="L13" s="494" t="s">
        <v>527</v>
      </c>
      <c r="M13" s="495"/>
      <c r="U13" s="484">
        <v>198001</v>
      </c>
      <c r="V13" s="484">
        <v>193200</v>
      </c>
      <c r="W13" s="484">
        <v>193627</v>
      </c>
      <c r="X13" s="484">
        <v>191449</v>
      </c>
      <c r="Y13" s="484">
        <v>190931</v>
      </c>
    </row>
    <row r="14" spans="1:25" s="368" customFormat="1" ht="29.25" customHeight="1">
      <c r="A14" s="412"/>
      <c r="B14" s="413" t="s">
        <v>323</v>
      </c>
      <c r="C14" s="414"/>
      <c r="D14" s="1001"/>
      <c r="E14" s="1002">
        <f aca="true" t="shared" si="0" ref="E14:J14">SUM(E15:E17)</f>
        <v>100</v>
      </c>
      <c r="F14" s="1002">
        <f t="shared" si="0"/>
        <v>100</v>
      </c>
      <c r="G14" s="1002">
        <f t="shared" si="0"/>
        <v>100</v>
      </c>
      <c r="H14" s="1155">
        <f t="shared" si="0"/>
        <v>100</v>
      </c>
      <c r="I14" s="1155">
        <f t="shared" si="0"/>
        <v>100.00000000000001</v>
      </c>
      <c r="J14" s="1155">
        <f t="shared" si="0"/>
        <v>100</v>
      </c>
      <c r="K14" s="1156"/>
      <c r="L14" s="1068"/>
      <c r="N14" s="368">
        <f>SUM(N15:N17)</f>
        <v>280366</v>
      </c>
      <c r="O14" s="368">
        <f>SUM(O15:O17)</f>
        <v>286755</v>
      </c>
      <c r="P14" s="368">
        <f>SUM(P15:P17)</f>
        <v>293448</v>
      </c>
      <c r="Q14" s="368">
        <f>SUM(Q15:Q17)</f>
        <v>300297</v>
      </c>
      <c r="R14" s="377">
        <f>SUM(R15:R17)</f>
        <v>298795.515</v>
      </c>
      <c r="S14" s="376"/>
      <c r="T14" s="376"/>
      <c r="U14" s="489">
        <f>U13/U11*100</f>
        <v>71.90988792283164</v>
      </c>
      <c r="V14" s="489">
        <f>V13/V11*100</f>
        <v>68.90992488390175</v>
      </c>
      <c r="W14" s="489">
        <f>W13/W11*100</f>
        <v>67.79989215157606</v>
      </c>
      <c r="X14" s="489">
        <f>X13/X11*100</f>
        <v>66.10009149446718</v>
      </c>
      <c r="Y14" s="489">
        <f>Y13/Y11*100</f>
        <v>65</v>
      </c>
    </row>
    <row r="15" spans="1:25" ht="38.25" customHeight="1">
      <c r="A15" s="389"/>
      <c r="B15" s="417" t="s">
        <v>324</v>
      </c>
      <c r="C15" s="392" t="s">
        <v>291</v>
      </c>
      <c r="D15" s="1003">
        <v>67</v>
      </c>
      <c r="E15" s="511">
        <v>73.8</v>
      </c>
      <c r="F15" s="1004">
        <v>71.91</v>
      </c>
      <c r="G15" s="1004">
        <v>68.91</v>
      </c>
      <c r="H15" s="1157">
        <v>67.76</v>
      </c>
      <c r="I15" s="1157">
        <v>67.12</v>
      </c>
      <c r="J15" s="1150">
        <v>65.89</v>
      </c>
      <c r="K15" s="1150">
        <f>J15</f>
        <v>65.89</v>
      </c>
      <c r="L15" s="389"/>
      <c r="N15" s="364">
        <f>G15/100*G13</f>
        <v>193200.2106</v>
      </c>
      <c r="O15" s="364">
        <f>H15/100*H13</f>
        <v>194305.18800000002</v>
      </c>
      <c r="P15" s="364">
        <f>I15/100*I13</f>
        <v>196962.29760000002</v>
      </c>
      <c r="Q15" s="364">
        <f>J15/100*J13</f>
        <v>197865.6933</v>
      </c>
      <c r="R15" s="364">
        <f>40.5/100*K13</f>
        <v>121620.285</v>
      </c>
      <c r="U15" s="364">
        <v>27562</v>
      </c>
      <c r="V15" s="364">
        <v>33083</v>
      </c>
      <c r="W15" s="364">
        <v>33699</v>
      </c>
      <c r="X15" s="364">
        <v>34756</v>
      </c>
      <c r="Y15" s="364">
        <v>36424</v>
      </c>
    </row>
    <row r="16" spans="1:25" ht="35.25" customHeight="1">
      <c r="A16" s="389"/>
      <c r="B16" s="417" t="s">
        <v>43</v>
      </c>
      <c r="C16" s="392" t="s">
        <v>291</v>
      </c>
      <c r="D16" s="1003">
        <v>12.4</v>
      </c>
      <c r="E16" s="511">
        <v>8.6</v>
      </c>
      <c r="F16" s="1004">
        <v>10.01</v>
      </c>
      <c r="G16" s="1004">
        <v>11.8</v>
      </c>
      <c r="H16" s="1157">
        <v>11.74</v>
      </c>
      <c r="I16" s="1157">
        <v>11.93</v>
      </c>
      <c r="J16" s="1157">
        <v>12.4</v>
      </c>
      <c r="K16" s="1157">
        <f>J16</f>
        <v>12.4</v>
      </c>
      <c r="L16" s="389"/>
      <c r="M16" s="379"/>
      <c r="N16" s="364">
        <f>G16/100*G13</f>
        <v>33083.188</v>
      </c>
      <c r="O16" s="364">
        <f>H16/100*H13</f>
        <v>33665.037000000004</v>
      </c>
      <c r="P16" s="364">
        <f>I16/100*I13</f>
        <v>35008.3464</v>
      </c>
      <c r="Q16" s="364">
        <f>J16/100*J13</f>
        <v>37236.828</v>
      </c>
      <c r="R16" s="364">
        <f>28.5/100*K13</f>
        <v>85584.64499999999</v>
      </c>
      <c r="S16" s="364" t="s">
        <v>518</v>
      </c>
      <c r="U16" s="490">
        <f>U15/U11*100</f>
        <v>10.00995111605035</v>
      </c>
      <c r="V16" s="490">
        <f>V15/V11*100</f>
        <v>11.799932944793591</v>
      </c>
      <c r="W16" s="490">
        <f>W15/W11*100</f>
        <v>11.799948176731352</v>
      </c>
      <c r="X16" s="490">
        <f>X15/X11*100</f>
        <v>11.999930947571944</v>
      </c>
      <c r="Y16" s="490">
        <f>Y15/Y11*100</f>
        <v>12.400081704909104</v>
      </c>
    </row>
    <row r="17" spans="1:25" ht="29.25" customHeight="1">
      <c r="A17" s="389"/>
      <c r="B17" s="417" t="s">
        <v>44</v>
      </c>
      <c r="C17" s="392" t="s">
        <v>291</v>
      </c>
      <c r="D17" s="1003">
        <v>20</v>
      </c>
      <c r="E17" s="511">
        <v>17.6</v>
      </c>
      <c r="F17" s="1004">
        <v>18.08</v>
      </c>
      <c r="G17" s="1004">
        <v>19.29</v>
      </c>
      <c r="H17" s="1157">
        <v>20.5</v>
      </c>
      <c r="I17" s="1157">
        <v>20.95</v>
      </c>
      <c r="J17" s="1157">
        <v>21.71</v>
      </c>
      <c r="K17" s="1157">
        <f>J17</f>
        <v>21.71</v>
      </c>
      <c r="L17" s="389"/>
      <c r="M17" s="379"/>
      <c r="N17" s="364">
        <f>G17/100*G13</f>
        <v>54082.6014</v>
      </c>
      <c r="O17" s="364">
        <f>H17/100*H13</f>
        <v>58784.774999999994</v>
      </c>
      <c r="P17" s="364">
        <f>I17/100*I13</f>
        <v>61477.356</v>
      </c>
      <c r="Q17" s="364">
        <f>J17/100*J13</f>
        <v>65194.47870000001</v>
      </c>
      <c r="R17" s="364">
        <f>30.5/100*K13</f>
        <v>91590.58499999999</v>
      </c>
      <c r="U17" s="364">
        <v>49783</v>
      </c>
      <c r="V17" s="364">
        <v>54083</v>
      </c>
      <c r="W17" s="364">
        <v>58260</v>
      </c>
      <c r="X17" s="364">
        <v>63430</v>
      </c>
      <c r="Y17" s="364">
        <v>66385</v>
      </c>
    </row>
    <row r="18" spans="1:25" s="484" customFormat="1" ht="32.25" customHeight="1">
      <c r="A18" s="494">
        <v>3</v>
      </c>
      <c r="B18" s="479" t="s">
        <v>325</v>
      </c>
      <c r="C18" s="480" t="s">
        <v>337</v>
      </c>
      <c r="D18" s="999" t="s">
        <v>534</v>
      </c>
      <c r="E18" s="1000">
        <v>8000</v>
      </c>
      <c r="F18" s="1005">
        <v>8669</v>
      </c>
      <c r="G18" s="1005">
        <v>8450</v>
      </c>
      <c r="H18" s="1151">
        <v>8475</v>
      </c>
      <c r="I18" s="1151">
        <v>8534</v>
      </c>
      <c r="J18" s="1151">
        <v>8500</v>
      </c>
      <c r="K18" s="1152">
        <f>(F18+G18+H18+I18+J18)/5</f>
        <v>8525.6</v>
      </c>
      <c r="L18" s="494" t="s">
        <v>525</v>
      </c>
      <c r="M18" s="496"/>
      <c r="S18" s="497">
        <f>F18+G18+H18+I18+J18</f>
        <v>42628</v>
      </c>
      <c r="U18" s="495">
        <f>U17/U11*100</f>
        <v>18.08016096111801</v>
      </c>
      <c r="V18" s="495">
        <f>V17/V11*100</f>
        <v>19.29014217130465</v>
      </c>
      <c r="W18" s="495">
        <f>W17/W11*100</f>
        <v>20.400159671692588</v>
      </c>
      <c r="X18" s="495">
        <f>X17/X11*100</f>
        <v>21.89997755796088</v>
      </c>
      <c r="Y18" s="495">
        <f>Y17/Y11*100</f>
        <v>22.599918295090895</v>
      </c>
    </row>
    <row r="19" spans="1:25" s="363" customFormat="1" ht="31.5" customHeight="1">
      <c r="A19" s="387" t="s">
        <v>15</v>
      </c>
      <c r="B19" s="385" t="s">
        <v>341</v>
      </c>
      <c r="C19" s="384"/>
      <c r="D19" s="1006"/>
      <c r="E19" s="867"/>
      <c r="F19" s="868"/>
      <c r="G19" s="868"/>
      <c r="H19" s="868"/>
      <c r="I19" s="868"/>
      <c r="J19" s="868"/>
      <c r="K19" s="499"/>
      <c r="L19" s="387"/>
      <c r="M19" s="380"/>
      <c r="O19" s="373"/>
      <c r="P19" s="372"/>
      <c r="R19" s="373"/>
      <c r="S19" s="372"/>
      <c r="T19" s="372"/>
      <c r="U19" s="491">
        <f>U14+U16+U18</f>
        <v>100</v>
      </c>
      <c r="V19" s="491">
        <f>V14+V16+V18</f>
        <v>100</v>
      </c>
      <c r="W19" s="491">
        <f>W14+W16+W18</f>
        <v>100</v>
      </c>
      <c r="X19" s="491">
        <f>X14+X16+X18</f>
        <v>100</v>
      </c>
      <c r="Y19" s="491">
        <f>Y14+Y16+Y18</f>
        <v>100</v>
      </c>
    </row>
    <row r="20" spans="1:12" ht="29.25" customHeight="1">
      <c r="A20" s="389"/>
      <c r="B20" s="408" t="s">
        <v>326</v>
      </c>
      <c r="C20" s="406" t="s">
        <v>334</v>
      </c>
      <c r="D20" s="999">
        <v>6</v>
      </c>
      <c r="E20" s="1000"/>
      <c r="F20" s="1007">
        <v>2</v>
      </c>
      <c r="G20" s="1007">
        <v>2</v>
      </c>
      <c r="H20" s="1007">
        <v>2</v>
      </c>
      <c r="I20" s="512"/>
      <c r="J20" s="512"/>
      <c r="K20" s="500">
        <f>F20+G20+H20</f>
        <v>6</v>
      </c>
      <c r="L20" s="389" t="s">
        <v>526</v>
      </c>
    </row>
    <row r="21" spans="1:24" s="363" customFormat="1" ht="31.5" customHeight="1">
      <c r="A21" s="387" t="s">
        <v>18</v>
      </c>
      <c r="B21" s="385" t="s">
        <v>342</v>
      </c>
      <c r="C21" s="384"/>
      <c r="D21" s="579"/>
      <c r="E21" s="498"/>
      <c r="F21" s="499"/>
      <c r="G21" s="499"/>
      <c r="H21" s="499"/>
      <c r="I21" s="499"/>
      <c r="J21" s="499"/>
      <c r="K21" s="499"/>
      <c r="L21" s="387"/>
      <c r="M21" s="364"/>
      <c r="N21" s="364"/>
      <c r="O21" s="364"/>
      <c r="P21" s="364"/>
      <c r="Q21" s="364"/>
      <c r="R21" s="364"/>
      <c r="S21" s="364"/>
      <c r="T21" s="364"/>
      <c r="U21" s="364"/>
      <c r="V21" s="364"/>
      <c r="W21" s="364"/>
      <c r="X21" s="364"/>
    </row>
    <row r="22" spans="1:12" ht="38.25" customHeight="1">
      <c r="A22" s="389">
        <v>1</v>
      </c>
      <c r="B22" s="418" t="s">
        <v>327</v>
      </c>
      <c r="C22" s="406" t="s">
        <v>335</v>
      </c>
      <c r="D22" s="580"/>
      <c r="E22" s="521"/>
      <c r="F22" s="522"/>
      <c r="G22" s="522"/>
      <c r="H22" s="522"/>
      <c r="I22" s="522"/>
      <c r="J22" s="522"/>
      <c r="K22" s="522"/>
      <c r="L22" s="523"/>
    </row>
    <row r="23" spans="1:12" ht="29.25" customHeight="1">
      <c r="A23" s="389"/>
      <c r="B23" s="1008" t="s">
        <v>435</v>
      </c>
      <c r="C23" s="392" t="s">
        <v>335</v>
      </c>
      <c r="D23" s="1158">
        <v>32</v>
      </c>
      <c r="E23" s="1158">
        <v>27.1</v>
      </c>
      <c r="F23" s="1159">
        <v>27.4</v>
      </c>
      <c r="G23" s="1159">
        <v>27.7</v>
      </c>
      <c r="H23" s="1159">
        <v>28.2</v>
      </c>
      <c r="I23" s="1159">
        <v>28.8</v>
      </c>
      <c r="J23" s="1159">
        <v>29.9</v>
      </c>
      <c r="K23" s="1159">
        <v>29.9</v>
      </c>
      <c r="L23" s="523" t="s">
        <v>42</v>
      </c>
    </row>
    <row r="24" spans="1:12" ht="29.25" customHeight="1">
      <c r="A24" s="389"/>
      <c r="B24" s="1008" t="s">
        <v>436</v>
      </c>
      <c r="C24" s="392" t="s">
        <v>335</v>
      </c>
      <c r="D24" s="1160"/>
      <c r="E24" s="1161"/>
      <c r="F24" s="1162"/>
      <c r="G24" s="1163"/>
      <c r="H24" s="1163"/>
      <c r="I24" s="1163"/>
      <c r="J24" s="1163"/>
      <c r="K24" s="1163"/>
      <c r="L24" s="523"/>
    </row>
    <row r="25" spans="1:12" ht="30" customHeight="1">
      <c r="A25" s="389">
        <v>2</v>
      </c>
      <c r="B25" s="418" t="s">
        <v>328</v>
      </c>
      <c r="C25" s="406" t="s">
        <v>336</v>
      </c>
      <c r="D25" s="1160">
        <v>10.8</v>
      </c>
      <c r="E25" s="1164">
        <v>5.83</v>
      </c>
      <c r="F25" s="1157">
        <v>6.23</v>
      </c>
      <c r="G25" s="1157">
        <v>6.69</v>
      </c>
      <c r="H25" s="1157">
        <v>8.72</v>
      </c>
      <c r="I25" s="1157">
        <v>9.72</v>
      </c>
      <c r="J25" s="1157">
        <v>10.87</v>
      </c>
      <c r="K25" s="1157">
        <v>10.87</v>
      </c>
      <c r="L25" s="444" t="s">
        <v>521</v>
      </c>
    </row>
    <row r="26" spans="1:12" ht="62.25" customHeight="1">
      <c r="A26" s="389">
        <v>3</v>
      </c>
      <c r="B26" s="1085" t="s">
        <v>798</v>
      </c>
      <c r="C26" s="406" t="s">
        <v>337</v>
      </c>
      <c r="D26" s="1160">
        <v>70</v>
      </c>
      <c r="E26" s="1160">
        <v>100.8</v>
      </c>
      <c r="F26" s="1156">
        <v>71</v>
      </c>
      <c r="G26" s="1156">
        <v>68.9</v>
      </c>
      <c r="H26" s="1156">
        <v>64.4</v>
      </c>
      <c r="I26" s="1156">
        <v>67.2</v>
      </c>
      <c r="J26" s="1156">
        <v>65</v>
      </c>
      <c r="K26" s="1156">
        <v>65</v>
      </c>
      <c r="L26" s="444" t="s">
        <v>521</v>
      </c>
    </row>
    <row r="27" spans="1:12" ht="33" customHeight="1">
      <c r="A27" s="389">
        <v>4</v>
      </c>
      <c r="B27" s="418" t="s">
        <v>329</v>
      </c>
      <c r="C27" s="406" t="s">
        <v>395</v>
      </c>
      <c r="D27" s="1158">
        <v>23.5</v>
      </c>
      <c r="E27" s="1158">
        <v>27.9</v>
      </c>
      <c r="F27" s="1158">
        <v>36.6</v>
      </c>
      <c r="G27" s="1158">
        <v>36.8</v>
      </c>
      <c r="H27" s="1158">
        <v>46.5</v>
      </c>
      <c r="I27" s="1158">
        <v>36.8</v>
      </c>
      <c r="J27" s="1159">
        <v>34.2</v>
      </c>
      <c r="K27" s="1159">
        <v>34.2</v>
      </c>
      <c r="L27" s="522" t="s">
        <v>42</v>
      </c>
    </row>
    <row r="28" spans="1:12" ht="33" customHeight="1">
      <c r="A28" s="389">
        <v>5</v>
      </c>
      <c r="B28" s="418" t="s">
        <v>330</v>
      </c>
      <c r="C28" s="406" t="s">
        <v>395</v>
      </c>
      <c r="D28" s="1158">
        <v>32</v>
      </c>
      <c r="E28" s="1158">
        <v>39.5</v>
      </c>
      <c r="F28" s="1158">
        <v>45.9</v>
      </c>
      <c r="G28" s="1158">
        <v>43.5</v>
      </c>
      <c r="H28" s="1158">
        <v>54.9</v>
      </c>
      <c r="I28" s="1158">
        <v>44.3</v>
      </c>
      <c r="J28" s="1159">
        <v>46.6</v>
      </c>
      <c r="K28" s="1159">
        <v>46.6</v>
      </c>
      <c r="L28" s="522" t="s">
        <v>42</v>
      </c>
    </row>
    <row r="29" spans="1:12" ht="45" customHeight="1">
      <c r="A29" s="389">
        <v>6</v>
      </c>
      <c r="B29" s="418" t="s">
        <v>331</v>
      </c>
      <c r="C29" s="406" t="s">
        <v>291</v>
      </c>
      <c r="D29" s="1158" t="s">
        <v>522</v>
      </c>
      <c r="E29" s="1165">
        <v>22.97</v>
      </c>
      <c r="F29" s="1150">
        <v>22.03</v>
      </c>
      <c r="G29" s="1150">
        <v>21.17</v>
      </c>
      <c r="H29" s="1150">
        <v>20.23</v>
      </c>
      <c r="I29" s="1150">
        <v>19.77</v>
      </c>
      <c r="J29" s="1159">
        <v>18.8</v>
      </c>
      <c r="K29" s="1159">
        <v>18.8</v>
      </c>
      <c r="L29" s="444" t="s">
        <v>521</v>
      </c>
    </row>
    <row r="30" spans="1:19" ht="38.25" customHeight="1">
      <c r="A30" s="389">
        <v>7</v>
      </c>
      <c r="B30" s="408" t="s">
        <v>437</v>
      </c>
      <c r="C30" s="406" t="s">
        <v>291</v>
      </c>
      <c r="D30" s="1158">
        <v>25</v>
      </c>
      <c r="E30" s="1158">
        <v>0</v>
      </c>
      <c r="F30" s="1166">
        <v>0</v>
      </c>
      <c r="G30" s="1159">
        <v>9.8</v>
      </c>
      <c r="H30" s="1159">
        <v>13.8</v>
      </c>
      <c r="I30" s="1159">
        <v>23.1</v>
      </c>
      <c r="J30" s="1159">
        <v>30.8</v>
      </c>
      <c r="K30" s="1159">
        <v>30.8</v>
      </c>
      <c r="L30" s="444" t="s">
        <v>521</v>
      </c>
      <c r="S30" s="364" t="s">
        <v>518</v>
      </c>
    </row>
    <row r="31" spans="1:12" ht="38.25" customHeight="1">
      <c r="A31" s="389">
        <v>8</v>
      </c>
      <c r="B31" s="408" t="s">
        <v>332</v>
      </c>
      <c r="C31" s="406" t="s">
        <v>291</v>
      </c>
      <c r="D31" s="1158" t="s">
        <v>523</v>
      </c>
      <c r="E31" s="1158">
        <v>93.1</v>
      </c>
      <c r="F31" s="1159">
        <v>93.4</v>
      </c>
      <c r="G31" s="1159">
        <v>93.3</v>
      </c>
      <c r="H31" s="1159">
        <v>90.2</v>
      </c>
      <c r="I31" s="1159">
        <v>89.4</v>
      </c>
      <c r="J31" s="1159">
        <v>94</v>
      </c>
      <c r="K31" s="1159">
        <v>94</v>
      </c>
      <c r="L31" s="444" t="s">
        <v>521</v>
      </c>
    </row>
    <row r="32" spans="1:12" ht="37.5" customHeight="1">
      <c r="A32" s="389">
        <v>9</v>
      </c>
      <c r="B32" s="408" t="s">
        <v>333</v>
      </c>
      <c r="C32" s="406" t="s">
        <v>291</v>
      </c>
      <c r="D32" s="1158">
        <v>60</v>
      </c>
      <c r="E32" s="1158">
        <v>16.1</v>
      </c>
      <c r="F32" s="1159">
        <v>18.8</v>
      </c>
      <c r="G32" s="1159">
        <v>22.3</v>
      </c>
      <c r="H32" s="1159">
        <v>31.5</v>
      </c>
      <c r="I32" s="1159">
        <v>43.8</v>
      </c>
      <c r="J32" s="1152">
        <v>60</v>
      </c>
      <c r="K32" s="1152">
        <v>60</v>
      </c>
      <c r="L32" s="444" t="s">
        <v>521</v>
      </c>
    </row>
    <row r="33" spans="1:12" ht="42" customHeight="1">
      <c r="A33" s="389">
        <v>10</v>
      </c>
      <c r="B33" s="408" t="s">
        <v>381</v>
      </c>
      <c r="C33" s="406" t="s">
        <v>291</v>
      </c>
      <c r="D33" s="1158" t="s">
        <v>524</v>
      </c>
      <c r="E33" s="1158">
        <v>88.2</v>
      </c>
      <c r="F33" s="1159">
        <v>93.1</v>
      </c>
      <c r="G33" s="1159">
        <v>98.2</v>
      </c>
      <c r="H33" s="1159">
        <v>98</v>
      </c>
      <c r="I33" s="1159">
        <v>97</v>
      </c>
      <c r="J33" s="1159">
        <v>98</v>
      </c>
      <c r="K33" s="1159">
        <v>98</v>
      </c>
      <c r="L33" s="444" t="s">
        <v>521</v>
      </c>
    </row>
    <row r="34" spans="1:12" ht="16.5">
      <c r="A34" s="383"/>
      <c r="B34" s="393"/>
      <c r="C34" s="394"/>
      <c r="D34" s="393"/>
      <c r="E34" s="394"/>
      <c r="F34" s="395"/>
      <c r="G34" s="395"/>
      <c r="H34" s="395"/>
      <c r="I34" s="395"/>
      <c r="J34" s="395"/>
      <c r="K34" s="395"/>
      <c r="L34" s="395"/>
    </row>
    <row r="35" spans="1:12" ht="16.5">
      <c r="A35" s="383"/>
      <c r="B35" s="1300" t="s">
        <v>404</v>
      </c>
      <c r="C35" s="1300"/>
      <c r="D35" s="1300"/>
      <c r="E35" s="493"/>
      <c r="F35" s="395"/>
      <c r="G35" s="395"/>
      <c r="H35" s="395"/>
      <c r="I35" s="395"/>
      <c r="J35" s="395"/>
      <c r="K35" s="395"/>
      <c r="L35" s="395"/>
    </row>
    <row r="36" spans="1:12" ht="16.5">
      <c r="A36" s="383"/>
      <c r="B36" s="393"/>
      <c r="C36" s="394"/>
      <c r="D36" s="393"/>
      <c r="E36" s="394"/>
      <c r="F36" s="395"/>
      <c r="G36" s="395"/>
      <c r="H36" s="395"/>
      <c r="I36" s="395"/>
      <c r="J36" s="395"/>
      <c r="K36" s="395"/>
      <c r="L36" s="395"/>
    </row>
    <row r="37" spans="1:12" ht="16.5">
      <c r="A37" s="383"/>
      <c r="B37" s="393"/>
      <c r="C37" s="394"/>
      <c r="D37" s="393"/>
      <c r="E37" s="394"/>
      <c r="F37" s="395"/>
      <c r="G37" s="395"/>
      <c r="H37" s="395"/>
      <c r="I37" s="395"/>
      <c r="J37" s="395"/>
      <c r="K37" s="395"/>
      <c r="L37" s="395"/>
    </row>
    <row r="38" spans="1:12" ht="16.5">
      <c r="A38" s="383"/>
      <c r="B38" s="393"/>
      <c r="C38" s="394"/>
      <c r="D38" s="393"/>
      <c r="E38" s="394"/>
      <c r="F38" s="395"/>
      <c r="G38" s="395"/>
      <c r="H38" s="395"/>
      <c r="I38" s="395"/>
      <c r="J38" s="395"/>
      <c r="K38" s="395"/>
      <c r="L38" s="395"/>
    </row>
    <row r="39" spans="1:12" ht="16.5">
      <c r="A39" s="383"/>
      <c r="B39" s="393"/>
      <c r="C39" s="394"/>
      <c r="D39" s="393"/>
      <c r="E39" s="394"/>
      <c r="F39" s="395"/>
      <c r="G39" s="395"/>
      <c r="H39" s="395"/>
      <c r="I39" s="395"/>
      <c r="J39" s="395"/>
      <c r="K39" s="395"/>
      <c r="L39" s="395"/>
    </row>
    <row r="40" spans="1:12" ht="16.5">
      <c r="A40" s="383"/>
      <c r="B40" s="393"/>
      <c r="C40" s="394"/>
      <c r="D40" s="393"/>
      <c r="E40" s="394"/>
      <c r="F40" s="395"/>
      <c r="G40" s="395"/>
      <c r="H40" s="395"/>
      <c r="I40" s="395"/>
      <c r="J40" s="395"/>
      <c r="K40" s="395"/>
      <c r="L40" s="395"/>
    </row>
    <row r="41" spans="1:12" ht="16.5">
      <c r="A41" s="383"/>
      <c r="B41" s="393"/>
      <c r="C41" s="394"/>
      <c r="D41" s="393"/>
      <c r="E41" s="394"/>
      <c r="F41" s="395"/>
      <c r="G41" s="395"/>
      <c r="H41" s="395"/>
      <c r="I41" s="395"/>
      <c r="J41" s="395"/>
      <c r="K41" s="395"/>
      <c r="L41" s="395"/>
    </row>
    <row r="42" spans="1:12" ht="16.5">
      <c r="A42" s="383"/>
      <c r="B42" s="393"/>
      <c r="C42" s="394"/>
      <c r="D42" s="393"/>
      <c r="E42" s="394"/>
      <c r="F42" s="395"/>
      <c r="G42" s="395"/>
      <c r="H42" s="395"/>
      <c r="I42" s="395"/>
      <c r="J42" s="395"/>
      <c r="K42" s="395"/>
      <c r="L42" s="395"/>
    </row>
    <row r="43" spans="1:12" ht="16.5">
      <c r="A43" s="383"/>
      <c r="B43" s="393"/>
      <c r="C43" s="394"/>
      <c r="D43" s="393"/>
      <c r="E43" s="394"/>
      <c r="F43" s="395"/>
      <c r="G43" s="395"/>
      <c r="H43" s="395"/>
      <c r="I43" s="395"/>
      <c r="J43" s="395"/>
      <c r="K43" s="395"/>
      <c r="L43" s="395"/>
    </row>
    <row r="44" spans="1:12" ht="16.5">
      <c r="A44" s="383"/>
      <c r="B44" s="393"/>
      <c r="C44" s="394"/>
      <c r="D44" s="393"/>
      <c r="E44" s="394"/>
      <c r="F44" s="395"/>
      <c r="G44" s="395"/>
      <c r="H44" s="395"/>
      <c r="I44" s="395"/>
      <c r="J44" s="395"/>
      <c r="K44" s="395"/>
      <c r="L44" s="395"/>
    </row>
    <row r="45" spans="1:12" ht="16.5">
      <c r="A45" s="383"/>
      <c r="B45" s="393"/>
      <c r="C45" s="394"/>
      <c r="D45" s="393"/>
      <c r="E45" s="394"/>
      <c r="F45" s="395"/>
      <c r="G45" s="395"/>
      <c r="H45" s="395"/>
      <c r="I45" s="395"/>
      <c r="J45" s="395"/>
      <c r="K45" s="395"/>
      <c r="L45" s="395"/>
    </row>
    <row r="46" spans="1:12" ht="16.5">
      <c r="A46" s="383"/>
      <c r="B46" s="393"/>
      <c r="C46" s="394"/>
      <c r="D46" s="393"/>
      <c r="E46" s="394"/>
      <c r="F46" s="395"/>
      <c r="G46" s="395"/>
      <c r="H46" s="395"/>
      <c r="I46" s="395"/>
      <c r="J46" s="395"/>
      <c r="K46" s="395"/>
      <c r="L46" s="395"/>
    </row>
    <row r="47" spans="1:12" ht="16.5">
      <c r="A47" s="383"/>
      <c r="B47" s="393"/>
      <c r="C47" s="394"/>
      <c r="D47" s="393"/>
      <c r="E47" s="394"/>
      <c r="F47" s="395"/>
      <c r="G47" s="395"/>
      <c r="H47" s="395"/>
      <c r="I47" s="395"/>
      <c r="J47" s="395"/>
      <c r="K47" s="395"/>
      <c r="L47" s="395"/>
    </row>
    <row r="48" spans="1:12" ht="16.5">
      <c r="A48" s="383"/>
      <c r="B48" s="393"/>
      <c r="C48" s="394"/>
      <c r="D48" s="393"/>
      <c r="E48" s="394"/>
      <c r="F48" s="395"/>
      <c r="G48" s="395"/>
      <c r="H48" s="395"/>
      <c r="I48" s="395"/>
      <c r="J48" s="395"/>
      <c r="K48" s="395"/>
      <c r="L48" s="395"/>
    </row>
    <row r="49" spans="1:12" ht="16.5">
      <c r="A49" s="383"/>
      <c r="B49" s="393"/>
      <c r="C49" s="394"/>
      <c r="D49" s="393"/>
      <c r="E49" s="394"/>
      <c r="F49" s="395"/>
      <c r="G49" s="395"/>
      <c r="H49" s="395"/>
      <c r="I49" s="395"/>
      <c r="J49" s="395"/>
      <c r="K49" s="395"/>
      <c r="L49" s="395"/>
    </row>
    <row r="50" spans="1:12" ht="16.5">
      <c r="A50" s="383"/>
      <c r="B50" s="393"/>
      <c r="C50" s="394"/>
      <c r="D50" s="393"/>
      <c r="E50" s="394"/>
      <c r="F50" s="395"/>
      <c r="G50" s="395"/>
      <c r="H50" s="395"/>
      <c r="I50" s="395"/>
      <c r="J50" s="395"/>
      <c r="K50" s="395"/>
      <c r="L50" s="395"/>
    </row>
    <row r="51" spans="1:12" ht="16.5">
      <c r="A51" s="383"/>
      <c r="B51" s="393"/>
      <c r="C51" s="394"/>
      <c r="D51" s="393"/>
      <c r="E51" s="394"/>
      <c r="F51" s="395"/>
      <c r="G51" s="395"/>
      <c r="H51" s="395"/>
      <c r="I51" s="395"/>
      <c r="J51" s="395"/>
      <c r="K51" s="395"/>
      <c r="L51" s="395"/>
    </row>
    <row r="52" spans="1:12" ht="16.5">
      <c r="A52" s="383"/>
      <c r="B52" s="393"/>
      <c r="C52" s="394"/>
      <c r="D52" s="393"/>
      <c r="E52" s="394"/>
      <c r="F52" s="395"/>
      <c r="G52" s="395"/>
      <c r="H52" s="395"/>
      <c r="I52" s="395"/>
      <c r="J52" s="395"/>
      <c r="K52" s="395"/>
      <c r="L52" s="395"/>
    </row>
    <row r="53" spans="1:12" ht="16.5">
      <c r="A53" s="383"/>
      <c r="B53" s="393"/>
      <c r="C53" s="394"/>
      <c r="D53" s="393"/>
      <c r="E53" s="394"/>
      <c r="F53" s="395"/>
      <c r="G53" s="395"/>
      <c r="H53" s="395"/>
      <c r="I53" s="395"/>
      <c r="J53" s="395"/>
      <c r="K53" s="395"/>
      <c r="L53" s="395"/>
    </row>
    <row r="54" spans="1:12" ht="16.5">
      <c r="A54" s="383"/>
      <c r="B54" s="393"/>
      <c r="C54" s="394"/>
      <c r="D54" s="393"/>
      <c r="E54" s="394"/>
      <c r="F54" s="395"/>
      <c r="G54" s="395"/>
      <c r="H54" s="395"/>
      <c r="I54" s="395"/>
      <c r="J54" s="395"/>
      <c r="K54" s="395"/>
      <c r="L54" s="395"/>
    </row>
    <row r="55" spans="1:12" ht="16.5">
      <c r="A55" s="383"/>
      <c r="B55" s="393"/>
      <c r="C55" s="394"/>
      <c r="D55" s="393"/>
      <c r="E55" s="394"/>
      <c r="F55" s="395"/>
      <c r="G55" s="395"/>
      <c r="H55" s="395"/>
      <c r="I55" s="395"/>
      <c r="J55" s="395"/>
      <c r="K55" s="395"/>
      <c r="L55" s="395"/>
    </row>
    <row r="56" spans="1:12" ht="16.5">
      <c r="A56" s="383"/>
      <c r="B56" s="393"/>
      <c r="C56" s="394"/>
      <c r="D56" s="393"/>
      <c r="E56" s="394"/>
      <c r="F56" s="395"/>
      <c r="G56" s="395"/>
      <c r="H56" s="395"/>
      <c r="I56" s="395"/>
      <c r="J56" s="395"/>
      <c r="K56" s="395"/>
      <c r="L56" s="395"/>
    </row>
    <row r="57" spans="1:12" ht="16.5">
      <c r="A57" s="383"/>
      <c r="B57" s="393"/>
      <c r="C57" s="394"/>
      <c r="D57" s="393"/>
      <c r="E57" s="394"/>
      <c r="F57" s="395"/>
      <c r="G57" s="395"/>
      <c r="H57" s="395"/>
      <c r="I57" s="395"/>
      <c r="J57" s="395"/>
      <c r="K57" s="395"/>
      <c r="L57" s="395"/>
    </row>
    <row r="58" spans="1:12" ht="16.5">
      <c r="A58" s="383"/>
      <c r="B58" s="393"/>
      <c r="C58" s="394"/>
      <c r="D58" s="393"/>
      <c r="E58" s="394"/>
      <c r="F58" s="395"/>
      <c r="G58" s="395"/>
      <c r="H58" s="395"/>
      <c r="I58" s="395"/>
      <c r="J58" s="395"/>
      <c r="K58" s="395"/>
      <c r="L58" s="395"/>
    </row>
    <row r="59" spans="1:12" ht="16.5">
      <c r="A59" s="383"/>
      <c r="B59" s="393"/>
      <c r="C59" s="394"/>
      <c r="D59" s="393"/>
      <c r="E59" s="394"/>
      <c r="F59" s="395"/>
      <c r="G59" s="395"/>
      <c r="H59" s="395"/>
      <c r="I59" s="395"/>
      <c r="J59" s="395"/>
      <c r="K59" s="395"/>
      <c r="L59" s="395"/>
    </row>
    <row r="60" spans="1:12" ht="16.5">
      <c r="A60" s="383"/>
      <c r="B60" s="393"/>
      <c r="C60" s="394"/>
      <c r="D60" s="393"/>
      <c r="E60" s="394"/>
      <c r="F60" s="395"/>
      <c r="G60" s="395"/>
      <c r="H60" s="395"/>
      <c r="I60" s="395"/>
      <c r="J60" s="395"/>
      <c r="K60" s="395"/>
      <c r="L60" s="395"/>
    </row>
    <row r="61" spans="1:12" ht="16.5">
      <c r="A61" s="383"/>
      <c r="B61" s="393"/>
      <c r="C61" s="394"/>
      <c r="D61" s="393"/>
      <c r="E61" s="394"/>
      <c r="F61" s="395"/>
      <c r="G61" s="395"/>
      <c r="H61" s="395"/>
      <c r="I61" s="395"/>
      <c r="J61" s="395"/>
      <c r="K61" s="395"/>
      <c r="L61" s="395"/>
    </row>
    <row r="62" spans="1:12" ht="16.5">
      <c r="A62" s="383"/>
      <c r="B62" s="393"/>
      <c r="C62" s="394"/>
      <c r="D62" s="393"/>
      <c r="E62" s="394"/>
      <c r="F62" s="395"/>
      <c r="G62" s="395"/>
      <c r="H62" s="395"/>
      <c r="I62" s="395"/>
      <c r="J62" s="395"/>
      <c r="K62" s="395"/>
      <c r="L62" s="395"/>
    </row>
    <row r="63" spans="1:12" ht="16.5">
      <c r="A63" s="383"/>
      <c r="B63" s="393"/>
      <c r="C63" s="394"/>
      <c r="D63" s="393"/>
      <c r="E63" s="394"/>
      <c r="F63" s="395"/>
      <c r="G63" s="395"/>
      <c r="H63" s="395"/>
      <c r="I63" s="395"/>
      <c r="J63" s="395"/>
      <c r="K63" s="395"/>
      <c r="L63" s="395"/>
    </row>
    <row r="64" spans="1:12" ht="16.5">
      <c r="A64" s="383"/>
      <c r="B64" s="393"/>
      <c r="C64" s="394"/>
      <c r="D64" s="393"/>
      <c r="E64" s="394"/>
      <c r="F64" s="395"/>
      <c r="G64" s="395"/>
      <c r="H64" s="395"/>
      <c r="I64" s="395"/>
      <c r="J64" s="395"/>
      <c r="K64" s="395"/>
      <c r="L64" s="395"/>
    </row>
    <row r="65" spans="1:12" ht="16.5">
      <c r="A65" s="383"/>
      <c r="B65" s="393"/>
      <c r="C65" s="394"/>
      <c r="D65" s="393"/>
      <c r="E65" s="394"/>
      <c r="F65" s="395"/>
      <c r="G65" s="395"/>
      <c r="H65" s="395"/>
      <c r="I65" s="395"/>
      <c r="J65" s="395"/>
      <c r="K65" s="395"/>
      <c r="L65" s="395"/>
    </row>
    <row r="66" spans="1:12" ht="16.5">
      <c r="A66" s="383"/>
      <c r="B66" s="393"/>
      <c r="C66" s="394"/>
      <c r="D66" s="393"/>
      <c r="E66" s="394"/>
      <c r="F66" s="395"/>
      <c r="G66" s="395"/>
      <c r="H66" s="395"/>
      <c r="I66" s="395"/>
      <c r="J66" s="395"/>
      <c r="K66" s="395"/>
      <c r="L66" s="395"/>
    </row>
    <row r="67" spans="1:12" ht="16.5">
      <c r="A67" s="383"/>
      <c r="B67" s="393"/>
      <c r="C67" s="394"/>
      <c r="D67" s="393"/>
      <c r="E67" s="394"/>
      <c r="F67" s="395"/>
      <c r="G67" s="395"/>
      <c r="H67" s="395"/>
      <c r="I67" s="395"/>
      <c r="J67" s="395"/>
      <c r="K67" s="395"/>
      <c r="L67" s="395"/>
    </row>
    <row r="68" spans="1:12" ht="16.5">
      <c r="A68" s="383"/>
      <c r="B68" s="393"/>
      <c r="C68" s="394"/>
      <c r="D68" s="393"/>
      <c r="E68" s="394"/>
      <c r="F68" s="395"/>
      <c r="G68" s="395"/>
      <c r="H68" s="395"/>
      <c r="I68" s="395"/>
      <c r="J68" s="395"/>
      <c r="K68" s="395"/>
      <c r="L68" s="395"/>
    </row>
    <row r="69" spans="1:12" ht="16.5">
      <c r="A69" s="383"/>
      <c r="B69" s="393"/>
      <c r="C69" s="394"/>
      <c r="D69" s="393"/>
      <c r="E69" s="394"/>
      <c r="F69" s="395"/>
      <c r="G69" s="395"/>
      <c r="H69" s="395"/>
      <c r="I69" s="395"/>
      <c r="J69" s="395"/>
      <c r="K69" s="395"/>
      <c r="L69" s="395"/>
    </row>
    <row r="70" spans="1:12" ht="16.5">
      <c r="A70" s="383"/>
      <c r="B70" s="393"/>
      <c r="C70" s="394"/>
      <c r="D70" s="393"/>
      <c r="E70" s="394"/>
      <c r="F70" s="395"/>
      <c r="G70" s="395"/>
      <c r="H70" s="395"/>
      <c r="I70" s="395"/>
      <c r="J70" s="395"/>
      <c r="K70" s="395"/>
      <c r="L70" s="395"/>
    </row>
    <row r="71" spans="1:12" ht="16.5">
      <c r="A71" s="383"/>
      <c r="B71" s="393"/>
      <c r="C71" s="394"/>
      <c r="D71" s="393"/>
      <c r="E71" s="394"/>
      <c r="F71" s="395"/>
      <c r="G71" s="395"/>
      <c r="H71" s="395"/>
      <c r="I71" s="395"/>
      <c r="J71" s="395"/>
      <c r="K71" s="395"/>
      <c r="L71" s="395"/>
    </row>
    <row r="72" spans="1:12" ht="16.5">
      <c r="A72" s="383"/>
      <c r="B72" s="393"/>
      <c r="C72" s="394"/>
      <c r="D72" s="393"/>
      <c r="E72" s="394"/>
      <c r="F72" s="395"/>
      <c r="G72" s="395"/>
      <c r="H72" s="395"/>
      <c r="I72" s="395"/>
      <c r="J72" s="395"/>
      <c r="K72" s="395"/>
      <c r="L72" s="395"/>
    </row>
    <row r="73" spans="1:12" ht="16.5">
      <c r="A73" s="383"/>
      <c r="B73" s="393"/>
      <c r="C73" s="394"/>
      <c r="D73" s="393"/>
      <c r="E73" s="394"/>
      <c r="F73" s="395"/>
      <c r="G73" s="395"/>
      <c r="H73" s="395"/>
      <c r="I73" s="395"/>
      <c r="J73" s="395"/>
      <c r="K73" s="395"/>
      <c r="L73" s="395"/>
    </row>
    <row r="74" spans="1:12" ht="16.5">
      <c r="A74" s="383"/>
      <c r="B74" s="393"/>
      <c r="C74" s="394"/>
      <c r="D74" s="393"/>
      <c r="E74" s="394"/>
      <c r="F74" s="395"/>
      <c r="G74" s="395"/>
      <c r="H74" s="395"/>
      <c r="I74" s="395"/>
      <c r="J74" s="395"/>
      <c r="K74" s="395"/>
      <c r="L74" s="395"/>
    </row>
    <row r="75" spans="1:12" ht="16.5">
      <c r="A75" s="383"/>
      <c r="B75" s="393"/>
      <c r="C75" s="394"/>
      <c r="D75" s="393"/>
      <c r="E75" s="394"/>
      <c r="F75" s="395"/>
      <c r="G75" s="395"/>
      <c r="H75" s="395"/>
      <c r="I75" s="395"/>
      <c r="J75" s="395"/>
      <c r="K75" s="395"/>
      <c r="L75" s="395"/>
    </row>
    <row r="76" spans="1:12" ht="16.5">
      <c r="A76" s="383"/>
      <c r="B76" s="393"/>
      <c r="C76" s="394"/>
      <c r="D76" s="393"/>
      <c r="E76" s="394"/>
      <c r="F76" s="395"/>
      <c r="G76" s="395"/>
      <c r="H76" s="395"/>
      <c r="I76" s="395"/>
      <c r="J76" s="395"/>
      <c r="K76" s="395"/>
      <c r="L76" s="395"/>
    </row>
    <row r="77" spans="1:12" ht="16.5">
      <c r="A77" s="383"/>
      <c r="B77" s="393"/>
      <c r="C77" s="394"/>
      <c r="D77" s="393"/>
      <c r="E77" s="394"/>
      <c r="F77" s="395"/>
      <c r="G77" s="395"/>
      <c r="H77" s="395"/>
      <c r="I77" s="395"/>
      <c r="J77" s="395"/>
      <c r="K77" s="395"/>
      <c r="L77" s="395"/>
    </row>
    <row r="78" spans="1:12" ht="16.5">
      <c r="A78" s="383"/>
      <c r="B78" s="393"/>
      <c r="C78" s="394"/>
      <c r="D78" s="393"/>
      <c r="E78" s="394"/>
      <c r="F78" s="395"/>
      <c r="G78" s="395"/>
      <c r="H78" s="395"/>
      <c r="I78" s="395"/>
      <c r="J78" s="395"/>
      <c r="K78" s="395"/>
      <c r="L78" s="395"/>
    </row>
    <row r="79" spans="1:12" ht="16.5">
      <c r="A79" s="383"/>
      <c r="B79" s="393"/>
      <c r="C79" s="394"/>
      <c r="D79" s="393"/>
      <c r="E79" s="394"/>
      <c r="F79" s="395"/>
      <c r="G79" s="395"/>
      <c r="H79" s="395"/>
      <c r="I79" s="395"/>
      <c r="J79" s="395"/>
      <c r="K79" s="395"/>
      <c r="L79" s="395"/>
    </row>
    <row r="80" spans="1:12" ht="16.5">
      <c r="A80" s="383"/>
      <c r="B80" s="393"/>
      <c r="C80" s="394"/>
      <c r="D80" s="393"/>
      <c r="E80" s="394"/>
      <c r="F80" s="395"/>
      <c r="G80" s="395"/>
      <c r="H80" s="395"/>
      <c r="I80" s="395"/>
      <c r="J80" s="395"/>
      <c r="K80" s="395"/>
      <c r="L80" s="395"/>
    </row>
    <row r="81" spans="1:12" ht="16.5">
      <c r="A81" s="383"/>
      <c r="B81" s="393"/>
      <c r="C81" s="394"/>
      <c r="D81" s="393"/>
      <c r="E81" s="394"/>
      <c r="F81" s="395"/>
      <c r="G81" s="395"/>
      <c r="H81" s="395"/>
      <c r="I81" s="395"/>
      <c r="J81" s="395"/>
      <c r="K81" s="395"/>
      <c r="L81" s="395"/>
    </row>
    <row r="82" spans="1:12" ht="16.5">
      <c r="A82" s="383"/>
      <c r="B82" s="393"/>
      <c r="C82" s="394"/>
      <c r="D82" s="393"/>
      <c r="E82" s="394"/>
      <c r="F82" s="395"/>
      <c r="G82" s="395"/>
      <c r="H82" s="395"/>
      <c r="I82" s="395"/>
      <c r="J82" s="395"/>
      <c r="K82" s="395"/>
      <c r="L82" s="395"/>
    </row>
    <row r="83" spans="1:12" ht="16.5">
      <c r="A83" s="383"/>
      <c r="B83" s="393"/>
      <c r="C83" s="394"/>
      <c r="D83" s="393"/>
      <c r="E83" s="394"/>
      <c r="F83" s="395"/>
      <c r="G83" s="395"/>
      <c r="H83" s="395"/>
      <c r="I83" s="395"/>
      <c r="J83" s="395"/>
      <c r="K83" s="395"/>
      <c r="L83" s="395"/>
    </row>
    <row r="84" spans="1:12" ht="16.5">
      <c r="A84" s="383"/>
      <c r="B84" s="393"/>
      <c r="C84" s="394"/>
      <c r="D84" s="393"/>
      <c r="E84" s="394"/>
      <c r="F84" s="395"/>
      <c r="G84" s="395"/>
      <c r="H84" s="395"/>
      <c r="I84" s="395"/>
      <c r="J84" s="395"/>
      <c r="K84" s="395"/>
      <c r="L84" s="395"/>
    </row>
    <row r="85" spans="1:12" ht="16.5">
      <c r="A85" s="383"/>
      <c r="B85" s="393"/>
      <c r="C85" s="394"/>
      <c r="D85" s="393"/>
      <c r="E85" s="394"/>
      <c r="F85" s="395"/>
      <c r="G85" s="395"/>
      <c r="H85" s="395"/>
      <c r="I85" s="395"/>
      <c r="J85" s="395"/>
      <c r="K85" s="395"/>
      <c r="L85" s="395"/>
    </row>
    <row r="86" spans="1:12" ht="16.5">
      <c r="A86" s="383"/>
      <c r="B86" s="393"/>
      <c r="C86" s="394"/>
      <c r="D86" s="393"/>
      <c r="E86" s="394"/>
      <c r="F86" s="395"/>
      <c r="G86" s="395"/>
      <c r="H86" s="395"/>
      <c r="I86" s="395"/>
      <c r="J86" s="395"/>
      <c r="K86" s="395"/>
      <c r="L86" s="395"/>
    </row>
    <row r="87" spans="1:12" ht="16.5">
      <c r="A87" s="383"/>
      <c r="B87" s="393"/>
      <c r="C87" s="394"/>
      <c r="D87" s="393"/>
      <c r="E87" s="394"/>
      <c r="F87" s="395"/>
      <c r="G87" s="395"/>
      <c r="H87" s="395"/>
      <c r="I87" s="395"/>
      <c r="J87" s="395"/>
      <c r="K87" s="395"/>
      <c r="L87" s="395"/>
    </row>
    <row r="88" spans="1:12" ht="16.5">
      <c r="A88" s="383"/>
      <c r="B88" s="393"/>
      <c r="C88" s="394"/>
      <c r="D88" s="393"/>
      <c r="E88" s="394"/>
      <c r="F88" s="395"/>
      <c r="G88" s="395"/>
      <c r="H88" s="395"/>
      <c r="I88" s="395"/>
      <c r="J88" s="395"/>
      <c r="K88" s="395"/>
      <c r="L88" s="395"/>
    </row>
    <row r="89" spans="1:12" ht="16.5">
      <c r="A89" s="383"/>
      <c r="B89" s="393"/>
      <c r="C89" s="394"/>
      <c r="D89" s="393"/>
      <c r="E89" s="394"/>
      <c r="F89" s="395"/>
      <c r="G89" s="395"/>
      <c r="H89" s="395"/>
      <c r="I89" s="395"/>
      <c r="J89" s="395"/>
      <c r="K89" s="395"/>
      <c r="L89" s="395"/>
    </row>
    <row r="90" spans="1:12" ht="16.5">
      <c r="A90" s="383"/>
      <c r="B90" s="393"/>
      <c r="C90" s="394"/>
      <c r="D90" s="393"/>
      <c r="E90" s="394"/>
      <c r="F90" s="395"/>
      <c r="G90" s="395"/>
      <c r="H90" s="395"/>
      <c r="I90" s="395"/>
      <c r="J90" s="395"/>
      <c r="K90" s="395"/>
      <c r="L90" s="395"/>
    </row>
    <row r="91" spans="1:12" ht="16.5">
      <c r="A91" s="383"/>
      <c r="B91" s="393"/>
      <c r="C91" s="394"/>
      <c r="D91" s="393"/>
      <c r="E91" s="394"/>
      <c r="F91" s="395"/>
      <c r="G91" s="395"/>
      <c r="H91" s="395"/>
      <c r="I91" s="395"/>
      <c r="J91" s="395"/>
      <c r="K91" s="395"/>
      <c r="L91" s="395"/>
    </row>
    <row r="92" spans="1:12" ht="16.5">
      <c r="A92" s="383"/>
      <c r="B92" s="393"/>
      <c r="C92" s="394"/>
      <c r="D92" s="393"/>
      <c r="E92" s="394"/>
      <c r="F92" s="395"/>
      <c r="G92" s="395"/>
      <c r="H92" s="395"/>
      <c r="I92" s="395"/>
      <c r="J92" s="395"/>
      <c r="K92" s="395"/>
      <c r="L92" s="395"/>
    </row>
    <row r="93" spans="1:12" ht="16.5">
      <c r="A93" s="383"/>
      <c r="B93" s="393"/>
      <c r="C93" s="394"/>
      <c r="D93" s="393"/>
      <c r="E93" s="394"/>
      <c r="F93" s="395"/>
      <c r="G93" s="395"/>
      <c r="H93" s="395"/>
      <c r="I93" s="395"/>
      <c r="J93" s="395"/>
      <c r="K93" s="395"/>
      <c r="L93" s="395"/>
    </row>
    <row r="94" spans="1:12" ht="16.5">
      <c r="A94" s="383"/>
      <c r="B94" s="393"/>
      <c r="C94" s="394"/>
      <c r="D94" s="393"/>
      <c r="E94" s="394"/>
      <c r="F94" s="395"/>
      <c r="G94" s="395"/>
      <c r="H94" s="395"/>
      <c r="I94" s="395"/>
      <c r="J94" s="395"/>
      <c r="K94" s="395"/>
      <c r="L94" s="395"/>
    </row>
    <row r="95" spans="1:12" ht="16.5">
      <c r="A95" s="383"/>
      <c r="B95" s="393"/>
      <c r="C95" s="394"/>
      <c r="D95" s="393"/>
      <c r="E95" s="394"/>
      <c r="F95" s="395"/>
      <c r="G95" s="395"/>
      <c r="H95" s="395"/>
      <c r="I95" s="395"/>
      <c r="J95" s="395"/>
      <c r="K95" s="395"/>
      <c r="L95" s="395"/>
    </row>
    <row r="96" spans="1:12" ht="16.5">
      <c r="A96" s="383"/>
      <c r="B96" s="393"/>
      <c r="C96" s="394"/>
      <c r="D96" s="393"/>
      <c r="E96" s="394"/>
      <c r="F96" s="395"/>
      <c r="G96" s="395"/>
      <c r="H96" s="395"/>
      <c r="I96" s="395"/>
      <c r="J96" s="395"/>
      <c r="K96" s="395"/>
      <c r="L96" s="395"/>
    </row>
    <row r="97" spans="1:12" ht="16.5">
      <c r="A97" s="383"/>
      <c r="B97" s="393"/>
      <c r="C97" s="394"/>
      <c r="D97" s="393"/>
      <c r="E97" s="394"/>
      <c r="F97" s="395"/>
      <c r="G97" s="395"/>
      <c r="H97" s="395"/>
      <c r="I97" s="395"/>
      <c r="J97" s="395"/>
      <c r="K97" s="395"/>
      <c r="L97" s="395"/>
    </row>
    <row r="98" spans="1:12" ht="16.5">
      <c r="A98" s="383"/>
      <c r="B98" s="393"/>
      <c r="C98" s="394"/>
      <c r="D98" s="393"/>
      <c r="E98" s="394"/>
      <c r="F98" s="395"/>
      <c r="G98" s="395"/>
      <c r="H98" s="395"/>
      <c r="I98" s="395"/>
      <c r="J98" s="395"/>
      <c r="K98" s="395"/>
      <c r="L98" s="395"/>
    </row>
    <row r="99" spans="1:12" ht="16.5">
      <c r="A99" s="383"/>
      <c r="B99" s="393"/>
      <c r="C99" s="394"/>
      <c r="D99" s="393"/>
      <c r="E99" s="394"/>
      <c r="F99" s="395"/>
      <c r="G99" s="395"/>
      <c r="H99" s="395"/>
      <c r="I99" s="395"/>
      <c r="J99" s="395"/>
      <c r="K99" s="395"/>
      <c r="L99" s="395"/>
    </row>
    <row r="100" spans="1:12" ht="16.5">
      <c r="A100" s="383"/>
      <c r="B100" s="393"/>
      <c r="C100" s="394"/>
      <c r="D100" s="393"/>
      <c r="E100" s="394"/>
      <c r="F100" s="395"/>
      <c r="G100" s="395"/>
      <c r="H100" s="395"/>
      <c r="I100" s="395"/>
      <c r="J100" s="395"/>
      <c r="K100" s="395"/>
      <c r="L100" s="395"/>
    </row>
    <row r="101" spans="1:12" ht="16.5">
      <c r="A101" s="383"/>
      <c r="B101" s="393"/>
      <c r="C101" s="394"/>
      <c r="D101" s="393"/>
      <c r="E101" s="394"/>
      <c r="F101" s="395"/>
      <c r="G101" s="395"/>
      <c r="H101" s="395"/>
      <c r="I101" s="395"/>
      <c r="J101" s="395"/>
      <c r="K101" s="395"/>
      <c r="L101" s="395"/>
    </row>
    <row r="102" spans="1:12" ht="16.5">
      <c r="A102" s="383"/>
      <c r="B102" s="393"/>
      <c r="C102" s="394"/>
      <c r="D102" s="393"/>
      <c r="E102" s="394"/>
      <c r="F102" s="395"/>
      <c r="G102" s="395"/>
      <c r="H102" s="395"/>
      <c r="I102" s="395"/>
      <c r="J102" s="395"/>
      <c r="K102" s="395"/>
      <c r="L102" s="395"/>
    </row>
    <row r="103" spans="1:12" ht="16.5">
      <c r="A103" s="383"/>
      <c r="B103" s="393"/>
      <c r="C103" s="394"/>
      <c r="D103" s="393"/>
      <c r="E103" s="394"/>
      <c r="F103" s="395"/>
      <c r="G103" s="395"/>
      <c r="H103" s="395"/>
      <c r="I103" s="395"/>
      <c r="J103" s="395"/>
      <c r="K103" s="395"/>
      <c r="L103" s="395"/>
    </row>
    <row r="104" spans="1:12" ht="16.5">
      <c r="A104" s="383"/>
      <c r="B104" s="393"/>
      <c r="C104" s="394"/>
      <c r="D104" s="393"/>
      <c r="E104" s="394"/>
      <c r="F104" s="395"/>
      <c r="G104" s="395"/>
      <c r="H104" s="395"/>
      <c r="I104" s="395"/>
      <c r="J104" s="395"/>
      <c r="K104" s="395"/>
      <c r="L104" s="395"/>
    </row>
    <row r="105" spans="1:12" ht="16.5">
      <c r="A105" s="383"/>
      <c r="B105" s="393"/>
      <c r="C105" s="394"/>
      <c r="D105" s="393"/>
      <c r="E105" s="394"/>
      <c r="F105" s="395"/>
      <c r="G105" s="395"/>
      <c r="H105" s="395"/>
      <c r="I105" s="395"/>
      <c r="J105" s="395"/>
      <c r="K105" s="395"/>
      <c r="L105" s="395"/>
    </row>
    <row r="106" spans="1:12" ht="16.5">
      <c r="A106" s="383"/>
      <c r="B106" s="393"/>
      <c r="C106" s="394"/>
      <c r="D106" s="393"/>
      <c r="E106" s="394"/>
      <c r="F106" s="395"/>
      <c r="G106" s="395"/>
      <c r="H106" s="395"/>
      <c r="I106" s="395"/>
      <c r="J106" s="395"/>
      <c r="K106" s="395"/>
      <c r="L106" s="395"/>
    </row>
    <row r="107" spans="1:12" ht="16.5">
      <c r="A107" s="383"/>
      <c r="B107" s="393"/>
      <c r="C107" s="394"/>
      <c r="D107" s="393"/>
      <c r="E107" s="394"/>
      <c r="F107" s="395"/>
      <c r="G107" s="395"/>
      <c r="H107" s="395"/>
      <c r="I107" s="395"/>
      <c r="J107" s="395"/>
      <c r="K107" s="395"/>
      <c r="L107" s="395"/>
    </row>
    <row r="108" spans="1:12" ht="16.5">
      <c r="A108" s="383"/>
      <c r="B108" s="393"/>
      <c r="C108" s="394"/>
      <c r="D108" s="393"/>
      <c r="E108" s="394"/>
      <c r="F108" s="395"/>
      <c r="G108" s="395"/>
      <c r="H108" s="395"/>
      <c r="I108" s="395"/>
      <c r="J108" s="395"/>
      <c r="K108" s="395"/>
      <c r="L108" s="395"/>
    </row>
    <row r="109" spans="1:12" ht="16.5">
      <c r="A109" s="383"/>
      <c r="B109" s="393"/>
      <c r="C109" s="394"/>
      <c r="D109" s="393"/>
      <c r="E109" s="394"/>
      <c r="F109" s="395"/>
      <c r="G109" s="395"/>
      <c r="H109" s="395"/>
      <c r="I109" s="395"/>
      <c r="J109" s="395"/>
      <c r="K109" s="395"/>
      <c r="L109" s="395"/>
    </row>
    <row r="110" spans="1:12" ht="16.5">
      <c r="A110" s="383"/>
      <c r="B110" s="393"/>
      <c r="C110" s="394"/>
      <c r="D110" s="393"/>
      <c r="E110" s="394"/>
      <c r="F110" s="395"/>
      <c r="G110" s="395"/>
      <c r="H110" s="395"/>
      <c r="I110" s="395"/>
      <c r="J110" s="395"/>
      <c r="K110" s="395"/>
      <c r="L110" s="395"/>
    </row>
    <row r="111" spans="1:12" ht="16.5">
      <c r="A111" s="383"/>
      <c r="B111" s="393"/>
      <c r="C111" s="394"/>
      <c r="D111" s="393"/>
      <c r="E111" s="394"/>
      <c r="F111" s="395"/>
      <c r="G111" s="395"/>
      <c r="H111" s="395"/>
      <c r="I111" s="395"/>
      <c r="J111" s="395"/>
      <c r="K111" s="395"/>
      <c r="L111" s="395"/>
    </row>
    <row r="112" spans="1:12" ht="16.5">
      <c r="A112" s="383"/>
      <c r="B112" s="393"/>
      <c r="C112" s="394"/>
      <c r="D112" s="393"/>
      <c r="E112" s="394"/>
      <c r="F112" s="395"/>
      <c r="G112" s="395"/>
      <c r="H112" s="395"/>
      <c r="I112" s="395"/>
      <c r="J112" s="395"/>
      <c r="K112" s="395"/>
      <c r="L112" s="395"/>
    </row>
    <row r="113" spans="1:12" ht="16.5">
      <c r="A113" s="383"/>
      <c r="B113" s="393"/>
      <c r="C113" s="394"/>
      <c r="D113" s="393"/>
      <c r="E113" s="394"/>
      <c r="F113" s="395"/>
      <c r="G113" s="395"/>
      <c r="H113" s="395"/>
      <c r="I113" s="395"/>
      <c r="J113" s="395"/>
      <c r="K113" s="395"/>
      <c r="L113" s="395"/>
    </row>
    <row r="114" spans="1:12" ht="16.5">
      <c r="A114" s="383"/>
      <c r="B114" s="393"/>
      <c r="C114" s="394"/>
      <c r="D114" s="393"/>
      <c r="E114" s="394"/>
      <c r="F114" s="395"/>
      <c r="G114" s="395"/>
      <c r="H114" s="395"/>
      <c r="I114" s="395"/>
      <c r="J114" s="395"/>
      <c r="K114" s="395"/>
      <c r="L114" s="395"/>
    </row>
    <row r="115" spans="1:12" ht="16.5">
      <c r="A115" s="383"/>
      <c r="B115" s="393"/>
      <c r="C115" s="394"/>
      <c r="D115" s="393"/>
      <c r="E115" s="394"/>
      <c r="F115" s="395"/>
      <c r="G115" s="395"/>
      <c r="H115" s="395"/>
      <c r="I115" s="395"/>
      <c r="J115" s="395"/>
      <c r="K115" s="395"/>
      <c r="L115" s="395"/>
    </row>
    <row r="116" spans="1:12" ht="16.5">
      <c r="A116" s="383"/>
      <c r="B116" s="393"/>
      <c r="C116" s="394"/>
      <c r="D116" s="393"/>
      <c r="E116" s="394"/>
      <c r="F116" s="395"/>
      <c r="G116" s="395"/>
      <c r="H116" s="395"/>
      <c r="I116" s="395"/>
      <c r="J116" s="395"/>
      <c r="K116" s="395"/>
      <c r="L116" s="395"/>
    </row>
    <row r="117" spans="1:12" ht="16.5">
      <c r="A117" s="383"/>
      <c r="B117" s="393"/>
      <c r="C117" s="394"/>
      <c r="D117" s="393"/>
      <c r="E117" s="394"/>
      <c r="F117" s="395"/>
      <c r="G117" s="395"/>
      <c r="H117" s="395"/>
      <c r="I117" s="395"/>
      <c r="J117" s="395"/>
      <c r="K117" s="395"/>
      <c r="L117" s="395"/>
    </row>
    <row r="118" spans="1:12" ht="16.5">
      <c r="A118" s="383"/>
      <c r="B118" s="393"/>
      <c r="C118" s="394"/>
      <c r="D118" s="393"/>
      <c r="E118" s="394"/>
      <c r="F118" s="395"/>
      <c r="G118" s="395"/>
      <c r="H118" s="395"/>
      <c r="I118" s="395"/>
      <c r="J118" s="395"/>
      <c r="K118" s="395"/>
      <c r="L118" s="395"/>
    </row>
    <row r="119" spans="1:12" ht="16.5">
      <c r="A119" s="383"/>
      <c r="B119" s="393"/>
      <c r="C119" s="394"/>
      <c r="D119" s="393"/>
      <c r="E119" s="394"/>
      <c r="F119" s="395"/>
      <c r="G119" s="395"/>
      <c r="H119" s="395"/>
      <c r="I119" s="395"/>
      <c r="J119" s="395"/>
      <c r="K119" s="395"/>
      <c r="L119" s="395"/>
    </row>
    <row r="120" spans="1:12" ht="16.5">
      <c r="A120" s="383"/>
      <c r="B120" s="393"/>
      <c r="C120" s="394"/>
      <c r="D120" s="393"/>
      <c r="E120" s="394"/>
      <c r="F120" s="395"/>
      <c r="G120" s="395"/>
      <c r="H120" s="395"/>
      <c r="I120" s="395"/>
      <c r="J120" s="395"/>
      <c r="K120" s="395"/>
      <c r="L120" s="395"/>
    </row>
    <row r="121" spans="1:12" ht="16.5">
      <c r="A121" s="383"/>
      <c r="B121" s="393"/>
      <c r="C121" s="394"/>
      <c r="D121" s="393"/>
      <c r="E121" s="394"/>
      <c r="F121" s="395"/>
      <c r="G121" s="395"/>
      <c r="H121" s="395"/>
      <c r="I121" s="395"/>
      <c r="J121" s="395"/>
      <c r="K121" s="395"/>
      <c r="L121" s="395"/>
    </row>
    <row r="122" spans="1:12" ht="16.5">
      <c r="A122" s="383"/>
      <c r="B122" s="393"/>
      <c r="C122" s="394"/>
      <c r="D122" s="393"/>
      <c r="E122" s="394"/>
      <c r="F122" s="395"/>
      <c r="G122" s="395"/>
      <c r="H122" s="395"/>
      <c r="I122" s="395"/>
      <c r="J122" s="395"/>
      <c r="K122" s="395"/>
      <c r="L122" s="395"/>
    </row>
    <row r="123" spans="1:12" ht="16.5">
      <c r="A123" s="383"/>
      <c r="B123" s="393"/>
      <c r="C123" s="394"/>
      <c r="D123" s="393"/>
      <c r="E123" s="394"/>
      <c r="F123" s="395"/>
      <c r="G123" s="395"/>
      <c r="H123" s="395"/>
      <c r="I123" s="395"/>
      <c r="J123" s="395"/>
      <c r="K123" s="395"/>
      <c r="L123" s="395"/>
    </row>
    <row r="124" spans="1:12" ht="16.5">
      <c r="A124" s="383"/>
      <c r="B124" s="393"/>
      <c r="C124" s="394"/>
      <c r="D124" s="393"/>
      <c r="E124" s="394"/>
      <c r="F124" s="395"/>
      <c r="G124" s="395"/>
      <c r="H124" s="395"/>
      <c r="I124" s="395"/>
      <c r="J124" s="395"/>
      <c r="K124" s="395"/>
      <c r="L124" s="395"/>
    </row>
    <row r="125" spans="1:12" ht="16.5">
      <c r="A125" s="383"/>
      <c r="B125" s="393"/>
      <c r="C125" s="394"/>
      <c r="D125" s="393"/>
      <c r="E125" s="394"/>
      <c r="F125" s="395"/>
      <c r="G125" s="395"/>
      <c r="H125" s="395"/>
      <c r="I125" s="395"/>
      <c r="J125" s="395"/>
      <c r="K125" s="395"/>
      <c r="L125" s="395"/>
    </row>
    <row r="126" spans="1:12" ht="16.5">
      <c r="A126" s="383"/>
      <c r="B126" s="393"/>
      <c r="C126" s="394"/>
      <c r="D126" s="393"/>
      <c r="E126" s="394"/>
      <c r="F126" s="395"/>
      <c r="G126" s="395"/>
      <c r="H126" s="395"/>
      <c r="I126" s="395"/>
      <c r="J126" s="395"/>
      <c r="K126" s="395"/>
      <c r="L126" s="395"/>
    </row>
    <row r="127" spans="1:12" ht="16.5">
      <c r="A127" s="383"/>
      <c r="B127" s="393"/>
      <c r="C127" s="394"/>
      <c r="D127" s="393"/>
      <c r="E127" s="394"/>
      <c r="F127" s="395"/>
      <c r="G127" s="395"/>
      <c r="H127" s="395"/>
      <c r="I127" s="395"/>
      <c r="J127" s="395"/>
      <c r="K127" s="395"/>
      <c r="L127" s="395"/>
    </row>
    <row r="128" spans="1:12" ht="16.5">
      <c r="A128" s="383"/>
      <c r="B128" s="393"/>
      <c r="C128" s="394"/>
      <c r="D128" s="393"/>
      <c r="E128" s="394"/>
      <c r="F128" s="395"/>
      <c r="G128" s="395"/>
      <c r="H128" s="395"/>
      <c r="I128" s="395"/>
      <c r="J128" s="395"/>
      <c r="K128" s="395"/>
      <c r="L128" s="395"/>
    </row>
    <row r="129" spans="1:12" ht="16.5">
      <c r="A129" s="383"/>
      <c r="B129" s="393"/>
      <c r="C129" s="394"/>
      <c r="D129" s="393"/>
      <c r="E129" s="394"/>
      <c r="F129" s="395"/>
      <c r="G129" s="395"/>
      <c r="H129" s="395"/>
      <c r="I129" s="395"/>
      <c r="J129" s="395"/>
      <c r="K129" s="395"/>
      <c r="L129" s="395"/>
    </row>
    <row r="130" spans="1:12" ht="16.5">
      <c r="A130" s="383"/>
      <c r="B130" s="393"/>
      <c r="C130" s="394"/>
      <c r="D130" s="393"/>
      <c r="E130" s="394"/>
      <c r="F130" s="395"/>
      <c r="G130" s="395"/>
      <c r="H130" s="395"/>
      <c r="I130" s="395"/>
      <c r="J130" s="395"/>
      <c r="K130" s="395"/>
      <c r="L130" s="395"/>
    </row>
    <row r="131" spans="1:12" ht="16.5">
      <c r="A131" s="383"/>
      <c r="B131" s="393"/>
      <c r="C131" s="394"/>
      <c r="D131" s="393"/>
      <c r="E131" s="394"/>
      <c r="F131" s="395"/>
      <c r="G131" s="395"/>
      <c r="H131" s="395"/>
      <c r="I131" s="395"/>
      <c r="J131" s="395"/>
      <c r="K131" s="395"/>
      <c r="L131" s="395"/>
    </row>
    <row r="132" spans="1:12" ht="16.5">
      <c r="A132" s="383"/>
      <c r="B132" s="393"/>
      <c r="C132" s="394"/>
      <c r="D132" s="393"/>
      <c r="E132" s="394"/>
      <c r="F132" s="395"/>
      <c r="G132" s="395"/>
      <c r="H132" s="395"/>
      <c r="I132" s="395"/>
      <c r="J132" s="395"/>
      <c r="K132" s="395"/>
      <c r="L132" s="395"/>
    </row>
    <row r="133" spans="1:12" ht="16.5">
      <c r="A133" s="383"/>
      <c r="B133" s="393"/>
      <c r="C133" s="394"/>
      <c r="D133" s="393"/>
      <c r="E133" s="394"/>
      <c r="F133" s="395"/>
      <c r="G133" s="395"/>
      <c r="H133" s="395"/>
      <c r="I133" s="395"/>
      <c r="J133" s="395"/>
      <c r="K133" s="395"/>
      <c r="L133" s="395"/>
    </row>
    <row r="134" spans="1:12" ht="16.5">
      <c r="A134" s="383"/>
      <c r="B134" s="393"/>
      <c r="C134" s="394"/>
      <c r="D134" s="393"/>
      <c r="E134" s="394"/>
      <c r="F134" s="395"/>
      <c r="G134" s="395"/>
      <c r="H134" s="395"/>
      <c r="I134" s="395"/>
      <c r="J134" s="395"/>
      <c r="K134" s="395"/>
      <c r="L134" s="395"/>
    </row>
    <row r="135" spans="1:12" ht="16.5">
      <c r="A135" s="383"/>
      <c r="B135" s="393"/>
      <c r="C135" s="394"/>
      <c r="D135" s="393"/>
      <c r="E135" s="394"/>
      <c r="F135" s="395"/>
      <c r="G135" s="395"/>
      <c r="H135" s="395"/>
      <c r="I135" s="395"/>
      <c r="J135" s="395"/>
      <c r="K135" s="395"/>
      <c r="L135" s="395"/>
    </row>
    <row r="136" spans="1:12" ht="16.5">
      <c r="A136" s="383"/>
      <c r="B136" s="393"/>
      <c r="C136" s="394"/>
      <c r="D136" s="393"/>
      <c r="E136" s="394"/>
      <c r="F136" s="395"/>
      <c r="G136" s="395"/>
      <c r="H136" s="395"/>
      <c r="I136" s="395"/>
      <c r="J136" s="395"/>
      <c r="K136" s="395"/>
      <c r="L136" s="395"/>
    </row>
    <row r="137" spans="1:12" ht="16.5">
      <c r="A137" s="383"/>
      <c r="B137" s="393"/>
      <c r="C137" s="394"/>
      <c r="D137" s="393"/>
      <c r="E137" s="394"/>
      <c r="F137" s="395"/>
      <c r="G137" s="395"/>
      <c r="H137" s="395"/>
      <c r="I137" s="395"/>
      <c r="J137" s="395"/>
      <c r="K137" s="395"/>
      <c r="L137" s="395"/>
    </row>
    <row r="138" spans="1:12" ht="16.5">
      <c r="A138" s="383"/>
      <c r="B138" s="393"/>
      <c r="C138" s="394"/>
      <c r="D138" s="393"/>
      <c r="E138" s="394"/>
      <c r="F138" s="395"/>
      <c r="G138" s="395"/>
      <c r="H138" s="395"/>
      <c r="I138" s="395"/>
      <c r="J138" s="395"/>
      <c r="K138" s="395"/>
      <c r="L138" s="395"/>
    </row>
    <row r="139" spans="1:12" ht="16.5">
      <c r="A139" s="383"/>
      <c r="B139" s="393"/>
      <c r="C139" s="394"/>
      <c r="D139" s="393"/>
      <c r="E139" s="394"/>
      <c r="F139" s="395"/>
      <c r="G139" s="395"/>
      <c r="H139" s="395"/>
      <c r="I139" s="395"/>
      <c r="J139" s="395"/>
      <c r="K139" s="395"/>
      <c r="L139" s="395"/>
    </row>
    <row r="140" spans="1:12" ht="16.5">
      <c r="A140" s="383"/>
      <c r="B140" s="393"/>
      <c r="C140" s="394"/>
      <c r="D140" s="393"/>
      <c r="E140" s="394"/>
      <c r="F140" s="395"/>
      <c r="G140" s="395"/>
      <c r="H140" s="395"/>
      <c r="I140" s="395"/>
      <c r="J140" s="395"/>
      <c r="K140" s="395"/>
      <c r="L140" s="395"/>
    </row>
    <row r="141" spans="1:12" ht="16.5">
      <c r="A141" s="383"/>
      <c r="B141" s="393"/>
      <c r="C141" s="394"/>
      <c r="D141" s="393"/>
      <c r="E141" s="394"/>
      <c r="F141" s="395"/>
      <c r="G141" s="395"/>
      <c r="H141" s="395"/>
      <c r="I141" s="395"/>
      <c r="J141" s="395"/>
      <c r="K141" s="395"/>
      <c r="L141" s="395"/>
    </row>
    <row r="142" spans="1:12" ht="16.5">
      <c r="A142" s="383"/>
      <c r="B142" s="393"/>
      <c r="C142" s="394"/>
      <c r="D142" s="393"/>
      <c r="E142" s="394"/>
      <c r="F142" s="395"/>
      <c r="G142" s="395"/>
      <c r="H142" s="395"/>
      <c r="I142" s="395"/>
      <c r="J142" s="395"/>
      <c r="K142" s="395"/>
      <c r="L142" s="395"/>
    </row>
    <row r="143" spans="1:12" ht="16.5">
      <c r="A143" s="383"/>
      <c r="B143" s="393"/>
      <c r="C143" s="394"/>
      <c r="D143" s="393"/>
      <c r="E143" s="394"/>
      <c r="F143" s="395"/>
      <c r="G143" s="395"/>
      <c r="H143" s="395"/>
      <c r="I143" s="395"/>
      <c r="J143" s="395"/>
      <c r="K143" s="395"/>
      <c r="L143" s="395"/>
    </row>
    <row r="144" spans="1:12" ht="16.5">
      <c r="A144" s="383"/>
      <c r="B144" s="393"/>
      <c r="C144" s="394"/>
      <c r="D144" s="393"/>
      <c r="E144" s="394"/>
      <c r="F144" s="395"/>
      <c r="G144" s="395"/>
      <c r="H144" s="395"/>
      <c r="I144" s="395"/>
      <c r="J144" s="395"/>
      <c r="K144" s="395"/>
      <c r="L144" s="395"/>
    </row>
    <row r="145" spans="1:12" ht="16.5">
      <c r="A145" s="383"/>
      <c r="B145" s="393"/>
      <c r="C145" s="394"/>
      <c r="D145" s="393"/>
      <c r="E145" s="394"/>
      <c r="F145" s="395"/>
      <c r="G145" s="395"/>
      <c r="H145" s="395"/>
      <c r="I145" s="395"/>
      <c r="J145" s="395"/>
      <c r="K145" s="395"/>
      <c r="L145" s="395"/>
    </row>
    <row r="146" spans="1:12" ht="16.5">
      <c r="A146" s="383"/>
      <c r="B146" s="393"/>
      <c r="C146" s="394"/>
      <c r="D146" s="393"/>
      <c r="E146" s="394"/>
      <c r="F146" s="395"/>
      <c r="G146" s="395"/>
      <c r="H146" s="395"/>
      <c r="I146" s="395"/>
      <c r="J146" s="395"/>
      <c r="K146" s="395"/>
      <c r="L146" s="395"/>
    </row>
    <row r="147" spans="1:12" ht="16.5">
      <c r="A147" s="383"/>
      <c r="B147" s="393"/>
      <c r="C147" s="394"/>
      <c r="D147" s="393"/>
      <c r="E147" s="394"/>
      <c r="F147" s="395"/>
      <c r="G147" s="395"/>
      <c r="H147" s="395"/>
      <c r="I147" s="395"/>
      <c r="J147" s="395"/>
      <c r="K147" s="395"/>
      <c r="L147" s="395"/>
    </row>
    <row r="148" spans="1:12" ht="16.5">
      <c r="A148" s="383"/>
      <c r="B148" s="393"/>
      <c r="C148" s="394"/>
      <c r="D148" s="393"/>
      <c r="E148" s="394"/>
      <c r="F148" s="395"/>
      <c r="G148" s="395"/>
      <c r="H148" s="395"/>
      <c r="I148" s="395"/>
      <c r="J148" s="395"/>
      <c r="K148" s="395"/>
      <c r="L148" s="395"/>
    </row>
    <row r="149" spans="1:12" ht="16.5">
      <c r="A149" s="383"/>
      <c r="B149" s="393"/>
      <c r="C149" s="394"/>
      <c r="D149" s="393"/>
      <c r="E149" s="394"/>
      <c r="F149" s="395"/>
      <c r="G149" s="395"/>
      <c r="H149" s="395"/>
      <c r="I149" s="395"/>
      <c r="J149" s="395"/>
      <c r="K149" s="395"/>
      <c r="L149" s="395"/>
    </row>
    <row r="150" spans="1:12" ht="16.5">
      <c r="A150" s="383"/>
      <c r="B150" s="393"/>
      <c r="C150" s="394"/>
      <c r="D150" s="393"/>
      <c r="E150" s="394"/>
      <c r="F150" s="395"/>
      <c r="G150" s="395"/>
      <c r="H150" s="395"/>
      <c r="I150" s="395"/>
      <c r="J150" s="395"/>
      <c r="K150" s="395"/>
      <c r="L150" s="395"/>
    </row>
    <row r="151" spans="1:12" ht="16.5">
      <c r="A151" s="383"/>
      <c r="B151" s="393"/>
      <c r="C151" s="394"/>
      <c r="D151" s="393"/>
      <c r="E151" s="394"/>
      <c r="F151" s="395"/>
      <c r="G151" s="395"/>
      <c r="H151" s="395"/>
      <c r="I151" s="395"/>
      <c r="J151" s="395"/>
      <c r="K151" s="395"/>
      <c r="L151" s="395"/>
    </row>
    <row r="152" spans="1:12" ht="16.5">
      <c r="A152" s="383"/>
      <c r="B152" s="393"/>
      <c r="C152" s="394"/>
      <c r="D152" s="393"/>
      <c r="E152" s="394"/>
      <c r="F152" s="395"/>
      <c r="G152" s="395"/>
      <c r="H152" s="395"/>
      <c r="I152" s="395"/>
      <c r="J152" s="395"/>
      <c r="K152" s="395"/>
      <c r="L152" s="395"/>
    </row>
    <row r="153" spans="1:12" ht="16.5">
      <c r="A153" s="383"/>
      <c r="B153" s="393"/>
      <c r="C153" s="394"/>
      <c r="D153" s="393"/>
      <c r="E153" s="394"/>
      <c r="F153" s="395"/>
      <c r="G153" s="395"/>
      <c r="H153" s="395"/>
      <c r="I153" s="395"/>
      <c r="J153" s="395"/>
      <c r="K153" s="395"/>
      <c r="L153" s="395"/>
    </row>
    <row r="154" spans="1:12" ht="16.5">
      <c r="A154" s="383"/>
      <c r="B154" s="393"/>
      <c r="C154" s="394"/>
      <c r="D154" s="393"/>
      <c r="E154" s="394"/>
      <c r="F154" s="395"/>
      <c r="G154" s="395"/>
      <c r="H154" s="395"/>
      <c r="I154" s="395"/>
      <c r="J154" s="395"/>
      <c r="K154" s="395"/>
      <c r="L154" s="395"/>
    </row>
    <row r="155" spans="1:12" ht="16.5">
      <c r="A155" s="383"/>
      <c r="B155" s="393"/>
      <c r="C155" s="394"/>
      <c r="D155" s="393"/>
      <c r="E155" s="394"/>
      <c r="F155" s="395"/>
      <c r="G155" s="395"/>
      <c r="H155" s="395"/>
      <c r="I155" s="395"/>
      <c r="J155" s="395"/>
      <c r="K155" s="395"/>
      <c r="L155" s="395"/>
    </row>
    <row r="156" spans="1:12" ht="16.5">
      <c r="A156" s="383"/>
      <c r="B156" s="393"/>
      <c r="C156" s="394"/>
      <c r="D156" s="393"/>
      <c r="E156" s="394"/>
      <c r="F156" s="395"/>
      <c r="G156" s="395"/>
      <c r="H156" s="395"/>
      <c r="I156" s="395"/>
      <c r="J156" s="395"/>
      <c r="K156" s="395"/>
      <c r="L156" s="395"/>
    </row>
    <row r="157" spans="1:12" ht="16.5">
      <c r="A157" s="383"/>
      <c r="B157" s="393"/>
      <c r="C157" s="394"/>
      <c r="D157" s="393"/>
      <c r="E157" s="394"/>
      <c r="F157" s="395"/>
      <c r="G157" s="395"/>
      <c r="H157" s="395"/>
      <c r="I157" s="395"/>
      <c r="J157" s="395"/>
      <c r="K157" s="395"/>
      <c r="L157" s="395"/>
    </row>
    <row r="158" spans="1:12" ht="16.5">
      <c r="A158" s="383"/>
      <c r="B158" s="393"/>
      <c r="C158" s="394"/>
      <c r="D158" s="393"/>
      <c r="E158" s="394"/>
      <c r="F158" s="395"/>
      <c r="G158" s="395"/>
      <c r="H158" s="395"/>
      <c r="I158" s="395"/>
      <c r="J158" s="395"/>
      <c r="K158" s="395"/>
      <c r="L158" s="395"/>
    </row>
    <row r="159" spans="1:12" ht="16.5">
      <c r="A159" s="383"/>
      <c r="B159" s="393"/>
      <c r="C159" s="394"/>
      <c r="D159" s="393"/>
      <c r="E159" s="394"/>
      <c r="F159" s="395"/>
      <c r="G159" s="395"/>
      <c r="H159" s="395"/>
      <c r="I159" s="395"/>
      <c r="J159" s="395"/>
      <c r="K159" s="395"/>
      <c r="L159" s="395"/>
    </row>
    <row r="160" spans="1:12" ht="16.5">
      <c r="A160" s="383"/>
      <c r="B160" s="393"/>
      <c r="C160" s="394"/>
      <c r="D160" s="393"/>
      <c r="E160" s="394"/>
      <c r="F160" s="395"/>
      <c r="G160" s="395"/>
      <c r="H160" s="395"/>
      <c r="I160" s="395"/>
      <c r="J160" s="395"/>
      <c r="K160" s="395"/>
      <c r="L160" s="395"/>
    </row>
    <row r="161" spans="1:12" ht="16.5">
      <c r="A161" s="383"/>
      <c r="B161" s="393"/>
      <c r="C161" s="394"/>
      <c r="D161" s="393"/>
      <c r="E161" s="394"/>
      <c r="F161" s="395"/>
      <c r="G161" s="395"/>
      <c r="H161" s="395"/>
      <c r="I161" s="395"/>
      <c r="J161" s="395"/>
      <c r="K161" s="395"/>
      <c r="L161" s="395"/>
    </row>
    <row r="162" spans="1:12" ht="16.5">
      <c r="A162" s="383"/>
      <c r="B162" s="393"/>
      <c r="C162" s="394"/>
      <c r="D162" s="393"/>
      <c r="E162" s="394"/>
      <c r="F162" s="395"/>
      <c r="G162" s="395"/>
      <c r="H162" s="395"/>
      <c r="I162" s="395"/>
      <c r="J162" s="395"/>
      <c r="K162" s="395"/>
      <c r="L162" s="395"/>
    </row>
    <row r="163" spans="1:12" ht="16.5">
      <c r="A163" s="383"/>
      <c r="B163" s="393"/>
      <c r="C163" s="394"/>
      <c r="D163" s="393"/>
      <c r="E163" s="394"/>
      <c r="F163" s="395"/>
      <c r="G163" s="395"/>
      <c r="H163" s="395"/>
      <c r="I163" s="395"/>
      <c r="J163" s="395"/>
      <c r="K163" s="395"/>
      <c r="L163" s="395"/>
    </row>
    <row r="164" spans="1:12" ht="16.5">
      <c r="A164" s="383"/>
      <c r="B164" s="393"/>
      <c r="C164" s="394"/>
      <c r="D164" s="393"/>
      <c r="E164" s="394"/>
      <c r="F164" s="395"/>
      <c r="G164" s="395"/>
      <c r="H164" s="395"/>
      <c r="I164" s="395"/>
      <c r="J164" s="395"/>
      <c r="K164" s="395"/>
      <c r="L164" s="395"/>
    </row>
    <row r="165" spans="1:12" ht="16.5">
      <c r="A165" s="383"/>
      <c r="B165" s="393"/>
      <c r="C165" s="394"/>
      <c r="D165" s="393"/>
      <c r="E165" s="394"/>
      <c r="F165" s="395"/>
      <c r="G165" s="395"/>
      <c r="H165" s="395"/>
      <c r="I165" s="395"/>
      <c r="J165" s="395"/>
      <c r="K165" s="395"/>
      <c r="L165" s="395"/>
    </row>
    <row r="166" spans="1:12" ht="16.5">
      <c r="A166" s="383"/>
      <c r="B166" s="393"/>
      <c r="C166" s="394"/>
      <c r="D166" s="393"/>
      <c r="E166" s="394"/>
      <c r="F166" s="395"/>
      <c r="G166" s="395"/>
      <c r="H166" s="395"/>
      <c r="I166" s="395"/>
      <c r="J166" s="395"/>
      <c r="K166" s="395"/>
      <c r="L166" s="395"/>
    </row>
    <row r="167" spans="1:12" ht="16.5">
      <c r="A167" s="383"/>
      <c r="B167" s="393"/>
      <c r="C167" s="394"/>
      <c r="D167" s="393"/>
      <c r="E167" s="394"/>
      <c r="F167" s="395"/>
      <c r="G167" s="395"/>
      <c r="H167" s="395"/>
      <c r="I167" s="395"/>
      <c r="J167" s="395"/>
      <c r="K167" s="395"/>
      <c r="L167" s="395"/>
    </row>
    <row r="168" spans="1:12" ht="16.5">
      <c r="A168" s="383"/>
      <c r="B168" s="393"/>
      <c r="C168" s="394"/>
      <c r="D168" s="393"/>
      <c r="E168" s="394"/>
      <c r="F168" s="395"/>
      <c r="G168" s="395"/>
      <c r="H168" s="395"/>
      <c r="I168" s="395"/>
      <c r="J168" s="395"/>
      <c r="K168" s="395"/>
      <c r="L168" s="395"/>
    </row>
    <row r="169" spans="1:12" ht="16.5">
      <c r="A169" s="383"/>
      <c r="B169" s="393"/>
      <c r="C169" s="394"/>
      <c r="D169" s="393"/>
      <c r="E169" s="394"/>
      <c r="F169" s="395"/>
      <c r="G169" s="395"/>
      <c r="H169" s="395"/>
      <c r="I169" s="395"/>
      <c r="J169" s="395"/>
      <c r="K169" s="395"/>
      <c r="L169" s="395"/>
    </row>
    <row r="170" spans="1:12" ht="16.5">
      <c r="A170" s="383"/>
      <c r="B170" s="393"/>
      <c r="C170" s="394"/>
      <c r="D170" s="393"/>
      <c r="E170" s="394"/>
      <c r="F170" s="395"/>
      <c r="G170" s="395"/>
      <c r="H170" s="395"/>
      <c r="I170" s="395"/>
      <c r="J170" s="395"/>
      <c r="K170" s="395"/>
      <c r="L170" s="395"/>
    </row>
    <row r="171" spans="1:12" ht="16.5">
      <c r="A171" s="383"/>
      <c r="B171" s="393"/>
      <c r="C171" s="394"/>
      <c r="D171" s="393"/>
      <c r="E171" s="394"/>
      <c r="F171" s="395"/>
      <c r="G171" s="395"/>
      <c r="H171" s="395"/>
      <c r="I171" s="395"/>
      <c r="J171" s="395"/>
      <c r="K171" s="395"/>
      <c r="L171" s="395"/>
    </row>
    <row r="172" spans="1:12" ht="16.5">
      <c r="A172" s="383"/>
      <c r="B172" s="393"/>
      <c r="C172" s="394"/>
      <c r="D172" s="393"/>
      <c r="E172" s="394"/>
      <c r="F172" s="395"/>
      <c r="G172" s="395"/>
      <c r="H172" s="395"/>
      <c r="I172" s="395"/>
      <c r="J172" s="395"/>
      <c r="K172" s="395"/>
      <c r="L172" s="395"/>
    </row>
    <row r="173" spans="1:12" ht="16.5">
      <c r="A173" s="383"/>
      <c r="B173" s="393"/>
      <c r="C173" s="394"/>
      <c r="D173" s="393"/>
      <c r="E173" s="394"/>
      <c r="F173" s="395"/>
      <c r="G173" s="395"/>
      <c r="H173" s="395"/>
      <c r="I173" s="395"/>
      <c r="J173" s="395"/>
      <c r="K173" s="395"/>
      <c r="L173" s="395"/>
    </row>
    <row r="174" spans="1:12" ht="16.5">
      <c r="A174" s="383"/>
      <c r="B174" s="393"/>
      <c r="C174" s="394"/>
      <c r="D174" s="393"/>
      <c r="E174" s="394"/>
      <c r="F174" s="395"/>
      <c r="G174" s="395"/>
      <c r="H174" s="395"/>
      <c r="I174" s="395"/>
      <c r="J174" s="395"/>
      <c r="K174" s="395"/>
      <c r="L174" s="395"/>
    </row>
    <row r="175" spans="1:12" ht="16.5">
      <c r="A175" s="383"/>
      <c r="B175" s="393"/>
      <c r="C175" s="394"/>
      <c r="D175" s="393"/>
      <c r="E175" s="394"/>
      <c r="F175" s="395"/>
      <c r="G175" s="395"/>
      <c r="H175" s="395"/>
      <c r="I175" s="395"/>
      <c r="J175" s="395"/>
      <c r="K175" s="395"/>
      <c r="L175" s="395"/>
    </row>
    <row r="176" spans="1:12" ht="16.5">
      <c r="A176" s="383"/>
      <c r="B176" s="393"/>
      <c r="C176" s="394"/>
      <c r="D176" s="393"/>
      <c r="E176" s="394"/>
      <c r="F176" s="395"/>
      <c r="G176" s="395"/>
      <c r="H176" s="395"/>
      <c r="I176" s="395"/>
      <c r="J176" s="395"/>
      <c r="K176" s="395"/>
      <c r="L176" s="395"/>
    </row>
    <row r="177" spans="1:12" ht="16.5">
      <c r="A177" s="383"/>
      <c r="B177" s="393"/>
      <c r="C177" s="394"/>
      <c r="D177" s="393"/>
      <c r="E177" s="394"/>
      <c r="F177" s="395"/>
      <c r="G177" s="395"/>
      <c r="H177" s="395"/>
      <c r="I177" s="395"/>
      <c r="J177" s="395"/>
      <c r="K177" s="395"/>
      <c r="L177" s="395"/>
    </row>
    <row r="178" spans="1:12" ht="16.5">
      <c r="A178" s="383"/>
      <c r="B178" s="393"/>
      <c r="C178" s="394"/>
      <c r="D178" s="393"/>
      <c r="E178" s="394"/>
      <c r="F178" s="395"/>
      <c r="G178" s="395"/>
      <c r="H178" s="395"/>
      <c r="I178" s="395"/>
      <c r="J178" s="395"/>
      <c r="K178" s="395"/>
      <c r="L178" s="395"/>
    </row>
    <row r="179" spans="1:12" ht="16.5">
      <c r="A179" s="383"/>
      <c r="B179" s="393"/>
      <c r="C179" s="394"/>
      <c r="D179" s="393"/>
      <c r="E179" s="394"/>
      <c r="F179" s="395"/>
      <c r="G179" s="395"/>
      <c r="H179" s="395"/>
      <c r="I179" s="395"/>
      <c r="J179" s="395"/>
      <c r="K179" s="395"/>
      <c r="L179" s="395"/>
    </row>
    <row r="180" spans="1:12" ht="16.5">
      <c r="A180" s="383"/>
      <c r="B180" s="393"/>
      <c r="C180" s="394"/>
      <c r="D180" s="393"/>
      <c r="E180" s="394"/>
      <c r="F180" s="395"/>
      <c r="G180" s="395"/>
      <c r="H180" s="395"/>
      <c r="I180" s="395"/>
      <c r="J180" s="395"/>
      <c r="K180" s="395"/>
      <c r="L180" s="395"/>
    </row>
    <row r="181" spans="1:12" ht="16.5">
      <c r="A181" s="383"/>
      <c r="B181" s="393"/>
      <c r="C181" s="394"/>
      <c r="D181" s="393"/>
      <c r="E181" s="394"/>
      <c r="F181" s="395"/>
      <c r="G181" s="395"/>
      <c r="H181" s="395"/>
      <c r="I181" s="395"/>
      <c r="J181" s="395"/>
      <c r="K181" s="395"/>
      <c r="L181" s="395"/>
    </row>
    <row r="182" spans="1:12" ht="16.5">
      <c r="A182" s="383"/>
      <c r="B182" s="393"/>
      <c r="C182" s="394"/>
      <c r="D182" s="393"/>
      <c r="E182" s="394"/>
      <c r="F182" s="395"/>
      <c r="G182" s="395"/>
      <c r="H182" s="395"/>
      <c r="I182" s="395"/>
      <c r="J182" s="395"/>
      <c r="K182" s="395"/>
      <c r="L182" s="395"/>
    </row>
    <row r="183" spans="1:12" ht="16.5">
      <c r="A183" s="383"/>
      <c r="B183" s="393"/>
      <c r="C183" s="394"/>
      <c r="D183" s="393"/>
      <c r="E183" s="394"/>
      <c r="F183" s="395"/>
      <c r="G183" s="395"/>
      <c r="H183" s="395"/>
      <c r="I183" s="395"/>
      <c r="J183" s="395"/>
      <c r="K183" s="395"/>
      <c r="L183" s="395"/>
    </row>
    <row r="184" spans="1:12" ht="16.5">
      <c r="A184" s="383"/>
      <c r="B184" s="393"/>
      <c r="C184" s="394"/>
      <c r="D184" s="393"/>
      <c r="E184" s="394"/>
      <c r="F184" s="395"/>
      <c r="G184" s="395"/>
      <c r="H184" s="395"/>
      <c r="I184" s="395"/>
      <c r="J184" s="395"/>
      <c r="K184" s="395"/>
      <c r="L184" s="395"/>
    </row>
    <row r="185" spans="1:12" ht="16.5">
      <c r="A185" s="383"/>
      <c r="B185" s="393"/>
      <c r="C185" s="394"/>
      <c r="D185" s="393"/>
      <c r="E185" s="394"/>
      <c r="F185" s="395"/>
      <c r="G185" s="395"/>
      <c r="H185" s="395"/>
      <c r="I185" s="395"/>
      <c r="J185" s="395"/>
      <c r="K185" s="395"/>
      <c r="L185" s="395"/>
    </row>
    <row r="186" spans="1:12" ht="16.5">
      <c r="A186" s="383"/>
      <c r="B186" s="393"/>
      <c r="C186" s="394"/>
      <c r="D186" s="393"/>
      <c r="E186" s="394"/>
      <c r="F186" s="395"/>
      <c r="G186" s="395"/>
      <c r="H186" s="395"/>
      <c r="I186" s="395"/>
      <c r="J186" s="395"/>
      <c r="K186" s="395"/>
      <c r="L186" s="395"/>
    </row>
    <row r="187" spans="1:12" ht="16.5">
      <c r="A187" s="383"/>
      <c r="B187" s="393"/>
      <c r="C187" s="394"/>
      <c r="D187" s="393"/>
      <c r="E187" s="394"/>
      <c r="F187" s="395"/>
      <c r="G187" s="395"/>
      <c r="H187" s="395"/>
      <c r="I187" s="395"/>
      <c r="J187" s="395"/>
      <c r="K187" s="395"/>
      <c r="L187" s="395"/>
    </row>
    <row r="188" spans="1:12" ht="16.5">
      <c r="A188" s="383"/>
      <c r="B188" s="393"/>
      <c r="C188" s="394"/>
      <c r="D188" s="393"/>
      <c r="E188" s="394"/>
      <c r="F188" s="395"/>
      <c r="G188" s="395"/>
      <c r="H188" s="395"/>
      <c r="I188" s="395"/>
      <c r="J188" s="395"/>
      <c r="K188" s="395"/>
      <c r="L188" s="395"/>
    </row>
    <row r="189" spans="1:12" ht="16.5">
      <c r="A189" s="383"/>
      <c r="B189" s="393"/>
      <c r="C189" s="394"/>
      <c r="D189" s="393"/>
      <c r="E189" s="394"/>
      <c r="F189" s="395"/>
      <c r="G189" s="395"/>
      <c r="H189" s="395"/>
      <c r="I189" s="395"/>
      <c r="J189" s="395"/>
      <c r="K189" s="395"/>
      <c r="L189" s="395"/>
    </row>
    <row r="190" spans="1:12" ht="16.5">
      <c r="A190" s="383"/>
      <c r="B190" s="393"/>
      <c r="C190" s="394"/>
      <c r="D190" s="393"/>
      <c r="E190" s="394"/>
      <c r="F190" s="395"/>
      <c r="G190" s="395"/>
      <c r="H190" s="395"/>
      <c r="I190" s="395"/>
      <c r="J190" s="395"/>
      <c r="K190" s="395"/>
      <c r="L190" s="395"/>
    </row>
    <row r="191" spans="1:12" ht="16.5">
      <c r="A191" s="383"/>
      <c r="B191" s="393"/>
      <c r="C191" s="394"/>
      <c r="D191" s="393"/>
      <c r="E191" s="394"/>
      <c r="F191" s="395"/>
      <c r="G191" s="395"/>
      <c r="H191" s="395"/>
      <c r="I191" s="395"/>
      <c r="J191" s="395"/>
      <c r="K191" s="395"/>
      <c r="L191" s="395"/>
    </row>
    <row r="192" spans="1:12" ht="16.5">
      <c r="A192" s="383"/>
      <c r="B192" s="393"/>
      <c r="C192" s="394"/>
      <c r="D192" s="393"/>
      <c r="E192" s="394"/>
      <c r="F192" s="395"/>
      <c r="G192" s="395"/>
      <c r="H192" s="395"/>
      <c r="I192" s="395"/>
      <c r="J192" s="395"/>
      <c r="K192" s="395"/>
      <c r="L192" s="395"/>
    </row>
    <row r="193" spans="1:12" ht="16.5">
      <c r="A193" s="383"/>
      <c r="B193" s="393"/>
      <c r="C193" s="394"/>
      <c r="D193" s="393"/>
      <c r="E193" s="394"/>
      <c r="F193" s="395"/>
      <c r="G193" s="395"/>
      <c r="H193" s="395"/>
      <c r="I193" s="395"/>
      <c r="J193" s="395"/>
      <c r="K193" s="395"/>
      <c r="L193" s="395"/>
    </row>
    <row r="194" spans="1:12" ht="16.5">
      <c r="A194" s="383"/>
      <c r="B194" s="393"/>
      <c r="C194" s="394"/>
      <c r="D194" s="393"/>
      <c r="E194" s="394"/>
      <c r="F194" s="395"/>
      <c r="G194" s="395"/>
      <c r="H194" s="395"/>
      <c r="I194" s="395"/>
      <c r="J194" s="395"/>
      <c r="K194" s="395"/>
      <c r="L194" s="395"/>
    </row>
    <row r="195" spans="1:12" ht="16.5">
      <c r="A195" s="383"/>
      <c r="B195" s="393"/>
      <c r="C195" s="394"/>
      <c r="D195" s="393"/>
      <c r="E195" s="394"/>
      <c r="F195" s="395"/>
      <c r="G195" s="395"/>
      <c r="H195" s="395"/>
      <c r="I195" s="395"/>
      <c r="J195" s="395"/>
      <c r="K195" s="395"/>
      <c r="L195" s="395"/>
    </row>
    <row r="196" spans="1:12" ht="16.5">
      <c r="A196" s="383"/>
      <c r="B196" s="393"/>
      <c r="C196" s="394"/>
      <c r="D196" s="393"/>
      <c r="E196" s="394"/>
      <c r="F196" s="395"/>
      <c r="G196" s="395"/>
      <c r="H196" s="395"/>
      <c r="I196" s="395"/>
      <c r="J196" s="395"/>
      <c r="K196" s="395"/>
      <c r="L196" s="395"/>
    </row>
    <row r="197" spans="1:12" ht="16.5">
      <c r="A197" s="383"/>
      <c r="B197" s="393"/>
      <c r="C197" s="394"/>
      <c r="D197" s="393"/>
      <c r="E197" s="394"/>
      <c r="F197" s="395"/>
      <c r="G197" s="395"/>
      <c r="H197" s="395"/>
      <c r="I197" s="395"/>
      <c r="J197" s="395"/>
      <c r="K197" s="395"/>
      <c r="L197" s="395"/>
    </row>
    <row r="198" spans="1:12" ht="16.5">
      <c r="A198" s="383"/>
      <c r="B198" s="393"/>
      <c r="C198" s="394"/>
      <c r="D198" s="393"/>
      <c r="E198" s="394"/>
      <c r="F198" s="395"/>
      <c r="G198" s="395"/>
      <c r="H198" s="395"/>
      <c r="I198" s="395"/>
      <c r="J198" s="395"/>
      <c r="K198" s="395"/>
      <c r="L198" s="395"/>
    </row>
    <row r="199" spans="1:12" ht="16.5">
      <c r="A199" s="383"/>
      <c r="B199" s="393"/>
      <c r="C199" s="394"/>
      <c r="D199" s="393"/>
      <c r="E199" s="394"/>
      <c r="F199" s="395"/>
      <c r="G199" s="395"/>
      <c r="H199" s="395"/>
      <c r="I199" s="395"/>
      <c r="J199" s="395"/>
      <c r="K199" s="395"/>
      <c r="L199" s="395"/>
    </row>
    <row r="200" spans="1:12" ht="16.5">
      <c r="A200" s="383"/>
      <c r="B200" s="393"/>
      <c r="C200" s="394"/>
      <c r="D200" s="393"/>
      <c r="E200" s="394"/>
      <c r="F200" s="395"/>
      <c r="G200" s="395"/>
      <c r="H200" s="395"/>
      <c r="I200" s="395"/>
      <c r="J200" s="395"/>
      <c r="K200" s="395"/>
      <c r="L200" s="395"/>
    </row>
    <row r="201" spans="1:12" ht="16.5">
      <c r="A201" s="383"/>
      <c r="B201" s="393"/>
      <c r="C201" s="394"/>
      <c r="D201" s="393"/>
      <c r="E201" s="394"/>
      <c r="F201" s="395"/>
      <c r="G201" s="395"/>
      <c r="H201" s="395"/>
      <c r="I201" s="395"/>
      <c r="J201" s="395"/>
      <c r="K201" s="395"/>
      <c r="L201" s="395"/>
    </row>
    <row r="202" spans="1:12" ht="16.5">
      <c r="A202" s="383"/>
      <c r="B202" s="393"/>
      <c r="C202" s="394"/>
      <c r="D202" s="393"/>
      <c r="E202" s="394"/>
      <c r="F202" s="395"/>
      <c r="G202" s="395"/>
      <c r="H202" s="395"/>
      <c r="I202" s="395"/>
      <c r="J202" s="395"/>
      <c r="K202" s="395"/>
      <c r="L202" s="395"/>
    </row>
    <row r="203" spans="1:12" ht="16.5">
      <c r="A203" s="383"/>
      <c r="B203" s="393"/>
      <c r="C203" s="394"/>
      <c r="D203" s="393"/>
      <c r="E203" s="394"/>
      <c r="F203" s="395"/>
      <c r="G203" s="395"/>
      <c r="H203" s="395"/>
      <c r="I203" s="395"/>
      <c r="J203" s="395"/>
      <c r="K203" s="395"/>
      <c r="L203" s="395"/>
    </row>
    <row r="204" spans="1:12" ht="16.5">
      <c r="A204" s="383"/>
      <c r="B204" s="393"/>
      <c r="C204" s="394"/>
      <c r="D204" s="393"/>
      <c r="E204" s="394"/>
      <c r="F204" s="395"/>
      <c r="G204" s="395"/>
      <c r="H204" s="395"/>
      <c r="I204" s="395"/>
      <c r="J204" s="395"/>
      <c r="K204" s="395"/>
      <c r="L204" s="395"/>
    </row>
    <row r="205" spans="1:12" ht="16.5">
      <c r="A205" s="383"/>
      <c r="B205" s="393"/>
      <c r="C205" s="394"/>
      <c r="D205" s="393"/>
      <c r="E205" s="394"/>
      <c r="F205" s="395"/>
      <c r="G205" s="395"/>
      <c r="H205" s="395"/>
      <c r="I205" s="395"/>
      <c r="J205" s="395"/>
      <c r="K205" s="395"/>
      <c r="L205" s="395"/>
    </row>
    <row r="206" spans="1:12" ht="16.5">
      <c r="A206" s="383"/>
      <c r="B206" s="393"/>
      <c r="C206" s="394"/>
      <c r="D206" s="393"/>
      <c r="E206" s="394"/>
      <c r="F206" s="395"/>
      <c r="G206" s="395"/>
      <c r="H206" s="395"/>
      <c r="I206" s="395"/>
      <c r="J206" s="395"/>
      <c r="K206" s="395"/>
      <c r="L206" s="395"/>
    </row>
    <row r="207" spans="1:12" ht="16.5">
      <c r="A207" s="383"/>
      <c r="B207" s="393"/>
      <c r="C207" s="394"/>
      <c r="D207" s="393"/>
      <c r="E207" s="394"/>
      <c r="F207" s="395"/>
      <c r="G207" s="395"/>
      <c r="H207" s="395"/>
      <c r="I207" s="395"/>
      <c r="J207" s="395"/>
      <c r="K207" s="395"/>
      <c r="L207" s="395"/>
    </row>
    <row r="208" spans="1:12" ht="16.5">
      <c r="A208" s="383"/>
      <c r="B208" s="393"/>
      <c r="C208" s="394"/>
      <c r="D208" s="393"/>
      <c r="E208" s="394"/>
      <c r="F208" s="395"/>
      <c r="G208" s="395"/>
      <c r="H208" s="395"/>
      <c r="I208" s="395"/>
      <c r="J208" s="395"/>
      <c r="K208" s="395"/>
      <c r="L208" s="395"/>
    </row>
    <row r="209" spans="1:12" ht="16.5">
      <c r="A209" s="383"/>
      <c r="B209" s="393"/>
      <c r="C209" s="394"/>
      <c r="D209" s="393"/>
      <c r="E209" s="394"/>
      <c r="F209" s="395"/>
      <c r="G209" s="395"/>
      <c r="H209" s="395"/>
      <c r="I209" s="395"/>
      <c r="J209" s="395"/>
      <c r="K209" s="395"/>
      <c r="L209" s="395"/>
    </row>
    <row r="210" spans="1:12" ht="16.5">
      <c r="A210" s="383"/>
      <c r="B210" s="393"/>
      <c r="C210" s="394"/>
      <c r="D210" s="393"/>
      <c r="E210" s="394"/>
      <c r="F210" s="395"/>
      <c r="G210" s="395"/>
      <c r="H210" s="395"/>
      <c r="I210" s="395"/>
      <c r="J210" s="395"/>
      <c r="K210" s="395"/>
      <c r="L210" s="395"/>
    </row>
    <row r="211" spans="1:12" ht="16.5">
      <c r="A211" s="383"/>
      <c r="B211" s="393"/>
      <c r="C211" s="394"/>
      <c r="D211" s="393"/>
      <c r="E211" s="394"/>
      <c r="F211" s="395"/>
      <c r="G211" s="395"/>
      <c r="H211" s="395"/>
      <c r="I211" s="395"/>
      <c r="J211" s="395"/>
      <c r="K211" s="395"/>
      <c r="L211" s="395"/>
    </row>
    <row r="212" spans="1:12" ht="16.5">
      <c r="A212" s="383"/>
      <c r="B212" s="393"/>
      <c r="C212" s="394"/>
      <c r="D212" s="393"/>
      <c r="E212" s="394"/>
      <c r="F212" s="395"/>
      <c r="G212" s="395"/>
      <c r="H212" s="395"/>
      <c r="I212" s="395"/>
      <c r="J212" s="395"/>
      <c r="K212" s="395"/>
      <c r="L212" s="395"/>
    </row>
    <row r="213" spans="1:12" ht="16.5">
      <c r="A213" s="383"/>
      <c r="B213" s="393"/>
      <c r="C213" s="394"/>
      <c r="D213" s="393"/>
      <c r="E213" s="394"/>
      <c r="F213" s="395"/>
      <c r="G213" s="395"/>
      <c r="H213" s="395"/>
      <c r="I213" s="395"/>
      <c r="J213" s="395"/>
      <c r="K213" s="395"/>
      <c r="L213" s="395"/>
    </row>
    <row r="214" spans="1:12" ht="16.5">
      <c r="A214" s="383"/>
      <c r="B214" s="393"/>
      <c r="C214" s="394"/>
      <c r="D214" s="393"/>
      <c r="E214" s="394"/>
      <c r="F214" s="395"/>
      <c r="G214" s="395"/>
      <c r="H214" s="395"/>
      <c r="I214" s="395"/>
      <c r="J214" s="395"/>
      <c r="K214" s="395"/>
      <c r="L214" s="395"/>
    </row>
    <row r="215" spans="1:12" ht="16.5">
      <c r="A215" s="383"/>
      <c r="B215" s="393"/>
      <c r="C215" s="394"/>
      <c r="D215" s="393"/>
      <c r="E215" s="394"/>
      <c r="F215" s="395"/>
      <c r="G215" s="395"/>
      <c r="H215" s="395"/>
      <c r="I215" s="395"/>
      <c r="J215" s="395"/>
      <c r="K215" s="395"/>
      <c r="L215" s="395"/>
    </row>
    <row r="216" spans="1:12" ht="16.5">
      <c r="A216" s="383"/>
      <c r="B216" s="393"/>
      <c r="C216" s="394"/>
      <c r="D216" s="393"/>
      <c r="E216" s="394"/>
      <c r="F216" s="395"/>
      <c r="G216" s="395"/>
      <c r="H216" s="395"/>
      <c r="I216" s="395"/>
      <c r="J216" s="395"/>
      <c r="K216" s="395"/>
      <c r="L216" s="395"/>
    </row>
    <row r="217" spans="1:12" ht="16.5">
      <c r="A217" s="383"/>
      <c r="B217" s="393"/>
      <c r="C217" s="394"/>
      <c r="D217" s="393"/>
      <c r="E217" s="394"/>
      <c r="F217" s="395"/>
      <c r="G217" s="395"/>
      <c r="H217" s="395"/>
      <c r="I217" s="395"/>
      <c r="J217" s="395"/>
      <c r="K217" s="395"/>
      <c r="L217" s="395"/>
    </row>
    <row r="218" spans="1:12" ht="16.5">
      <c r="A218" s="383"/>
      <c r="B218" s="393"/>
      <c r="C218" s="394"/>
      <c r="D218" s="393"/>
      <c r="E218" s="394"/>
      <c r="F218" s="395"/>
      <c r="G218" s="395"/>
      <c r="H218" s="395"/>
      <c r="I218" s="395"/>
      <c r="J218" s="395"/>
      <c r="K218" s="395"/>
      <c r="L218" s="395"/>
    </row>
    <row r="219" spans="1:12" ht="16.5">
      <c r="A219" s="383"/>
      <c r="B219" s="393"/>
      <c r="C219" s="394"/>
      <c r="D219" s="393"/>
      <c r="E219" s="394"/>
      <c r="F219" s="395"/>
      <c r="G219" s="395"/>
      <c r="H219" s="395"/>
      <c r="I219" s="395"/>
      <c r="J219" s="395"/>
      <c r="K219" s="395"/>
      <c r="L219" s="395"/>
    </row>
    <row r="220" spans="1:12" ht="16.5">
      <c r="A220" s="383"/>
      <c r="B220" s="393"/>
      <c r="C220" s="394"/>
      <c r="D220" s="393"/>
      <c r="E220" s="394"/>
      <c r="F220" s="395"/>
      <c r="G220" s="395"/>
      <c r="H220" s="395"/>
      <c r="I220" s="395"/>
      <c r="J220" s="395"/>
      <c r="K220" s="395"/>
      <c r="L220" s="395"/>
    </row>
    <row r="221" spans="1:12" ht="16.5">
      <c r="A221" s="383"/>
      <c r="B221" s="393"/>
      <c r="C221" s="394"/>
      <c r="D221" s="393"/>
      <c r="E221" s="394"/>
      <c r="F221" s="395"/>
      <c r="G221" s="395"/>
      <c r="H221" s="395"/>
      <c r="I221" s="395"/>
      <c r="J221" s="395"/>
      <c r="K221" s="395"/>
      <c r="L221" s="395"/>
    </row>
    <row r="222" spans="1:12" ht="16.5">
      <c r="A222" s="383"/>
      <c r="B222" s="393"/>
      <c r="C222" s="394"/>
      <c r="D222" s="393"/>
      <c r="E222" s="394"/>
      <c r="F222" s="395"/>
      <c r="G222" s="395"/>
      <c r="H222" s="395"/>
      <c r="I222" s="395"/>
      <c r="J222" s="395"/>
      <c r="K222" s="395"/>
      <c r="L222" s="395"/>
    </row>
    <row r="223" spans="1:12" ht="16.5">
      <c r="A223" s="383"/>
      <c r="B223" s="393"/>
      <c r="C223" s="394"/>
      <c r="D223" s="393"/>
      <c r="E223" s="394"/>
      <c r="F223" s="395"/>
      <c r="G223" s="395"/>
      <c r="H223" s="395"/>
      <c r="I223" s="395"/>
      <c r="J223" s="395"/>
      <c r="K223" s="395"/>
      <c r="L223" s="395"/>
    </row>
    <row r="224" spans="1:12" ht="16.5">
      <c r="A224" s="383"/>
      <c r="B224" s="393"/>
      <c r="C224" s="394"/>
      <c r="D224" s="393"/>
      <c r="E224" s="394"/>
      <c r="F224" s="395"/>
      <c r="G224" s="395"/>
      <c r="H224" s="395"/>
      <c r="I224" s="395"/>
      <c r="J224" s="395"/>
      <c r="K224" s="395"/>
      <c r="L224" s="395"/>
    </row>
    <row r="225" spans="1:12" ht="16.5">
      <c r="A225" s="383"/>
      <c r="B225" s="393"/>
      <c r="C225" s="394"/>
      <c r="D225" s="393"/>
      <c r="E225" s="394"/>
      <c r="F225" s="395"/>
      <c r="G225" s="395"/>
      <c r="H225" s="395"/>
      <c r="I225" s="395"/>
      <c r="J225" s="395"/>
      <c r="K225" s="395"/>
      <c r="L225" s="395"/>
    </row>
    <row r="226" spans="1:12" ht="16.5">
      <c r="A226" s="383"/>
      <c r="B226" s="393"/>
      <c r="C226" s="394"/>
      <c r="D226" s="393"/>
      <c r="E226" s="394"/>
      <c r="F226" s="395"/>
      <c r="G226" s="395"/>
      <c r="H226" s="395"/>
      <c r="I226" s="395"/>
      <c r="J226" s="395"/>
      <c r="K226" s="395"/>
      <c r="L226" s="395"/>
    </row>
    <row r="227" spans="1:12" ht="16.5">
      <c r="A227" s="383"/>
      <c r="B227" s="393"/>
      <c r="C227" s="394"/>
      <c r="D227" s="393"/>
      <c r="E227" s="394"/>
      <c r="F227" s="395"/>
      <c r="G227" s="395"/>
      <c r="H227" s="395"/>
      <c r="I227" s="395"/>
      <c r="J227" s="395"/>
      <c r="K227" s="395"/>
      <c r="L227" s="395"/>
    </row>
    <row r="228" spans="1:12" ht="16.5">
      <c r="A228" s="383"/>
      <c r="B228" s="393"/>
      <c r="C228" s="394"/>
      <c r="D228" s="393"/>
      <c r="E228" s="394"/>
      <c r="F228" s="395"/>
      <c r="G228" s="395"/>
      <c r="H228" s="395"/>
      <c r="I228" s="395"/>
      <c r="J228" s="395"/>
      <c r="K228" s="395"/>
      <c r="L228" s="395"/>
    </row>
    <row r="229" spans="1:12" ht="16.5">
      <c r="A229" s="383"/>
      <c r="B229" s="393"/>
      <c r="C229" s="394"/>
      <c r="D229" s="393"/>
      <c r="E229" s="394"/>
      <c r="F229" s="395"/>
      <c r="G229" s="395"/>
      <c r="H229" s="395"/>
      <c r="I229" s="395"/>
      <c r="J229" s="395"/>
      <c r="K229" s="395"/>
      <c r="L229" s="395"/>
    </row>
    <row r="230" spans="1:12" ht="16.5">
      <c r="A230" s="383"/>
      <c r="B230" s="393"/>
      <c r="C230" s="394"/>
      <c r="D230" s="393"/>
      <c r="E230" s="394"/>
      <c r="F230" s="395"/>
      <c r="G230" s="395"/>
      <c r="H230" s="395"/>
      <c r="I230" s="395"/>
      <c r="J230" s="395"/>
      <c r="K230" s="395"/>
      <c r="L230" s="395"/>
    </row>
    <row r="231" spans="1:12" ht="16.5">
      <c r="A231" s="383"/>
      <c r="B231" s="393"/>
      <c r="C231" s="394"/>
      <c r="D231" s="393"/>
      <c r="E231" s="394"/>
      <c r="F231" s="395"/>
      <c r="G231" s="395"/>
      <c r="H231" s="395"/>
      <c r="I231" s="395"/>
      <c r="J231" s="395"/>
      <c r="K231" s="395"/>
      <c r="L231" s="395"/>
    </row>
    <row r="232" spans="1:12" ht="16.5">
      <c r="A232" s="383"/>
      <c r="B232" s="393"/>
      <c r="C232" s="394"/>
      <c r="D232" s="393"/>
      <c r="E232" s="394"/>
      <c r="F232" s="395"/>
      <c r="G232" s="395"/>
      <c r="H232" s="395"/>
      <c r="I232" s="395"/>
      <c r="J232" s="395"/>
      <c r="K232" s="395"/>
      <c r="L232" s="395"/>
    </row>
    <row r="233" spans="1:12" ht="16.5">
      <c r="A233" s="383"/>
      <c r="B233" s="393"/>
      <c r="C233" s="394"/>
      <c r="D233" s="393"/>
      <c r="E233" s="394"/>
      <c r="F233" s="395"/>
      <c r="G233" s="395"/>
      <c r="H233" s="395"/>
      <c r="I233" s="395"/>
      <c r="J233" s="395"/>
      <c r="K233" s="395"/>
      <c r="L233" s="395"/>
    </row>
    <row r="234" spans="1:12" ht="16.5">
      <c r="A234" s="383"/>
      <c r="B234" s="393"/>
      <c r="C234" s="394"/>
      <c r="D234" s="393"/>
      <c r="E234" s="394"/>
      <c r="F234" s="395"/>
      <c r="G234" s="395"/>
      <c r="H234" s="395"/>
      <c r="I234" s="395"/>
      <c r="J234" s="395"/>
      <c r="K234" s="395"/>
      <c r="L234" s="395"/>
    </row>
    <row r="235" spans="1:12" ht="16.5">
      <c r="A235" s="383"/>
      <c r="B235" s="393"/>
      <c r="C235" s="394"/>
      <c r="D235" s="393"/>
      <c r="E235" s="394"/>
      <c r="F235" s="395"/>
      <c r="G235" s="395"/>
      <c r="H235" s="395"/>
      <c r="I235" s="395"/>
      <c r="J235" s="395"/>
      <c r="K235" s="395"/>
      <c r="L235" s="395"/>
    </row>
    <row r="236" spans="1:12" ht="16.5">
      <c r="A236" s="383"/>
      <c r="B236" s="393"/>
      <c r="C236" s="394"/>
      <c r="D236" s="393"/>
      <c r="E236" s="394"/>
      <c r="F236" s="395"/>
      <c r="G236" s="395"/>
      <c r="H236" s="395"/>
      <c r="I236" s="395"/>
      <c r="J236" s="395"/>
      <c r="K236" s="395"/>
      <c r="L236" s="395"/>
    </row>
    <row r="237" spans="1:12" ht="16.5">
      <c r="A237" s="383"/>
      <c r="B237" s="393"/>
      <c r="C237" s="394"/>
      <c r="D237" s="393"/>
      <c r="E237" s="394"/>
      <c r="F237" s="395"/>
      <c r="G237" s="395"/>
      <c r="H237" s="395"/>
      <c r="I237" s="395"/>
      <c r="J237" s="395"/>
      <c r="K237" s="395"/>
      <c r="L237" s="395"/>
    </row>
    <row r="238" spans="1:12" ht="16.5">
      <c r="A238" s="383"/>
      <c r="B238" s="393"/>
      <c r="C238" s="394"/>
      <c r="D238" s="393"/>
      <c r="E238" s="394"/>
      <c r="F238" s="395"/>
      <c r="G238" s="395"/>
      <c r="H238" s="395"/>
      <c r="I238" s="395"/>
      <c r="J238" s="395"/>
      <c r="K238" s="395"/>
      <c r="L238" s="395"/>
    </row>
    <row r="239" spans="1:12" ht="16.5">
      <c r="A239" s="383"/>
      <c r="B239" s="393"/>
      <c r="C239" s="394"/>
      <c r="D239" s="393"/>
      <c r="E239" s="394"/>
      <c r="F239" s="395"/>
      <c r="G239" s="395"/>
      <c r="H239" s="395"/>
      <c r="I239" s="395"/>
      <c r="J239" s="395"/>
      <c r="K239" s="395"/>
      <c r="L239" s="395"/>
    </row>
    <row r="240" spans="1:12" ht="16.5">
      <c r="A240" s="383"/>
      <c r="B240" s="393"/>
      <c r="C240" s="394"/>
      <c r="D240" s="393"/>
      <c r="E240" s="394"/>
      <c r="F240" s="395"/>
      <c r="G240" s="395"/>
      <c r="H240" s="395"/>
      <c r="I240" s="395"/>
      <c r="J240" s="395"/>
      <c r="K240" s="395"/>
      <c r="L240" s="395"/>
    </row>
    <row r="241" spans="1:12" ht="16.5">
      <c r="A241" s="383"/>
      <c r="B241" s="393"/>
      <c r="C241" s="394"/>
      <c r="D241" s="393"/>
      <c r="E241" s="394"/>
      <c r="F241" s="395"/>
      <c r="G241" s="395"/>
      <c r="H241" s="395"/>
      <c r="I241" s="395"/>
      <c r="J241" s="395"/>
      <c r="K241" s="395"/>
      <c r="L241" s="395"/>
    </row>
    <row r="242" spans="1:12" ht="16.5">
      <c r="A242" s="383"/>
      <c r="B242" s="393"/>
      <c r="C242" s="394"/>
      <c r="D242" s="393"/>
      <c r="E242" s="394"/>
      <c r="F242" s="395"/>
      <c r="G242" s="395"/>
      <c r="H242" s="395"/>
      <c r="I242" s="395"/>
      <c r="J242" s="395"/>
      <c r="K242" s="395"/>
      <c r="L242" s="395"/>
    </row>
  </sheetData>
  <sheetProtection/>
  <mergeCells count="4">
    <mergeCell ref="B35:D35"/>
    <mergeCell ref="K1:L1"/>
    <mergeCell ref="B2:L2"/>
    <mergeCell ref="A3:L3"/>
  </mergeCells>
  <printOptions horizontalCentered="1"/>
  <pageMargins left="0.708661417322835" right="0.47244094488189" top="0.748031496062992" bottom="0.866141732283465" header="0.47" footer="0.590551181102362"/>
  <pageSetup fitToHeight="0" fitToWidth="1" horizontalDpi="600" verticalDpi="600" orientation="landscape" paperSize="9" scale="71" r:id="rId1"/>
  <headerFooter alignWithMargins="0">
    <oddFooter>&amp;R&amp;"Times New Roman,Regular"&amp;12&amp;P/&amp;N</oddFooter>
  </headerFooter>
</worksheet>
</file>

<file path=xl/worksheets/sheet12.xml><?xml version="1.0" encoding="utf-8"?>
<worksheet xmlns="http://schemas.openxmlformats.org/spreadsheetml/2006/main" xmlns:r="http://schemas.openxmlformats.org/officeDocument/2006/relationships">
  <dimension ref="A1:P38"/>
  <sheetViews>
    <sheetView zoomScale="85" zoomScaleNormal="85" zoomScaleSheetLayoutView="100"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N29" sqref="N29"/>
    </sheetView>
  </sheetViews>
  <sheetFormatPr defaultColWidth="9.140625" defaultRowHeight="12.75"/>
  <cols>
    <col min="1" max="1" width="5.8515625" style="369" customWidth="1"/>
    <col min="2" max="2" width="29.8515625" style="365" customWidth="1"/>
    <col min="3" max="3" width="12.57421875" style="366" customWidth="1"/>
    <col min="4" max="4" width="10.57421875" style="369" customWidth="1"/>
    <col min="5" max="5" width="9.7109375" style="369" customWidth="1"/>
    <col min="6" max="6" width="9.28125" style="364" bestFit="1" customWidth="1"/>
    <col min="7" max="7" width="9.28125" style="364" customWidth="1"/>
    <col min="8" max="8" width="10.140625" style="364" customWidth="1"/>
    <col min="9" max="9" width="10.140625" style="369" customWidth="1"/>
    <col min="10" max="10" width="11.140625" style="364" customWidth="1"/>
    <col min="11" max="11" width="10.421875" style="364" customWidth="1"/>
    <col min="12" max="12" width="16.7109375" style="364" customWidth="1"/>
    <col min="13" max="13" width="17.28125" style="364" bestFit="1" customWidth="1"/>
    <col min="14" max="14" width="13.00390625" style="364" bestFit="1" customWidth="1"/>
    <col min="15" max="16384" width="9.140625" style="364" customWidth="1"/>
  </cols>
  <sheetData>
    <row r="1" spans="2:12" s="631" customFormat="1" ht="26.25" customHeight="1">
      <c r="B1" s="742" t="s">
        <v>670</v>
      </c>
      <c r="C1" s="743"/>
      <c r="D1" s="743"/>
      <c r="E1" s="743"/>
      <c r="J1" s="744" t="s">
        <v>357</v>
      </c>
      <c r="K1" s="1326" t="s">
        <v>358</v>
      </c>
      <c r="L1" s="1326"/>
    </row>
    <row r="2" spans="1:12" ht="21.75" customHeight="1">
      <c r="A2" s="364"/>
      <c r="B2" s="1327" t="s">
        <v>463</v>
      </c>
      <c r="C2" s="1327"/>
      <c r="D2" s="1327"/>
      <c r="E2" s="1327"/>
      <c r="F2" s="1327"/>
      <c r="G2" s="1327"/>
      <c r="H2" s="1327"/>
      <c r="I2" s="1327"/>
      <c r="J2" s="1327"/>
      <c r="K2" s="1327"/>
      <c r="L2" s="1327"/>
    </row>
    <row r="3" spans="1:12" ht="27.75" customHeight="1">
      <c r="A3" s="1328" t="s">
        <v>671</v>
      </c>
      <c r="B3" s="1329"/>
      <c r="C3" s="1329"/>
      <c r="D3" s="1329"/>
      <c r="E3" s="1329"/>
      <c r="F3" s="1329"/>
      <c r="G3" s="1329"/>
      <c r="H3" s="1329"/>
      <c r="I3" s="1329"/>
      <c r="J3" s="1329"/>
      <c r="K3" s="1329"/>
      <c r="L3" s="1329"/>
    </row>
    <row r="4" spans="11:13" ht="15.75" customHeight="1">
      <c r="K4" s="1330"/>
      <c r="L4" s="1330"/>
      <c r="M4" s="707"/>
    </row>
    <row r="5" spans="1:12" s="367" customFormat="1" ht="63" customHeight="1">
      <c r="A5" s="699" t="s">
        <v>0</v>
      </c>
      <c r="B5" s="699" t="s">
        <v>672</v>
      </c>
      <c r="C5" s="699" t="s">
        <v>184</v>
      </c>
      <c r="D5" s="699" t="s">
        <v>297</v>
      </c>
      <c r="E5" s="699" t="s">
        <v>464</v>
      </c>
      <c r="F5" s="699" t="s">
        <v>298</v>
      </c>
      <c r="G5" s="699" t="s">
        <v>299</v>
      </c>
      <c r="H5" s="699" t="s">
        <v>300</v>
      </c>
      <c r="I5" s="699" t="s">
        <v>799</v>
      </c>
      <c r="J5" s="699" t="s">
        <v>301</v>
      </c>
      <c r="K5" s="699" t="s">
        <v>706</v>
      </c>
      <c r="L5" s="699" t="s">
        <v>707</v>
      </c>
    </row>
    <row r="6" spans="1:13" s="631" customFormat="1" ht="33" customHeight="1">
      <c r="A6" s="700"/>
      <c r="B6" s="759" t="s">
        <v>215</v>
      </c>
      <c r="C6" s="701" t="s">
        <v>303</v>
      </c>
      <c r="D6" s="745">
        <f>D16+D19+D22+D25+D28+D31+D34</f>
        <v>29.999727999999998</v>
      </c>
      <c r="E6" s="745">
        <f>E16+E19+E22+E25+E28+E31+E34</f>
        <v>5.383746</v>
      </c>
      <c r="F6" s="745">
        <f>F16+F19+F22+F25+F28+F31+F34</f>
        <v>6.244</v>
      </c>
      <c r="G6" s="745">
        <f>G16+G19+G22+G25+G28+G31+G34</f>
        <v>6.662</v>
      </c>
      <c r="H6" s="745">
        <f>H16+H19+H22+H25+H28+H31+H34</f>
        <v>6.569</v>
      </c>
      <c r="I6" s="745">
        <v>6.934</v>
      </c>
      <c r="J6" s="745">
        <f>J16+J19+J22+J25+J28+J31+J34</f>
        <v>7.2059999999999995</v>
      </c>
      <c r="K6" s="745">
        <f>K16+K19+K22+K25+K28+K31+K34</f>
        <v>33.615</v>
      </c>
      <c r="L6" s="1009" t="s">
        <v>36</v>
      </c>
      <c r="M6" s="908"/>
    </row>
    <row r="7" spans="1:13" s="631" customFormat="1" ht="33" customHeight="1" hidden="1">
      <c r="A7" s="700"/>
      <c r="B7" s="759"/>
      <c r="C7" s="701"/>
      <c r="D7" s="745"/>
      <c r="E7" s="745"/>
      <c r="F7" s="745">
        <f>'BM1-CTTH '!F30/1000000</f>
        <v>7.042346</v>
      </c>
      <c r="G7" s="745">
        <f>'BM1-CTTH '!G30/1000000</f>
        <v>8.466287</v>
      </c>
      <c r="H7" s="745">
        <f>'BM1-CTTH '!H30/1000000</f>
        <v>9.714863</v>
      </c>
      <c r="I7" s="745">
        <f>'BM1-CTTH '!I30/1000000</f>
        <v>11.099231</v>
      </c>
      <c r="J7" s="745">
        <f>'BM1-CTTH '!J30/1000000</f>
        <v>12.688641</v>
      </c>
      <c r="K7" s="745"/>
      <c r="L7" s="1009"/>
      <c r="M7" s="908"/>
    </row>
    <row r="8" spans="1:13" s="368" customFormat="1" ht="42.75" customHeight="1">
      <c r="A8" s="702"/>
      <c r="B8" s="784" t="s">
        <v>674</v>
      </c>
      <c r="C8" s="703" t="s">
        <v>291</v>
      </c>
      <c r="D8" s="746"/>
      <c r="E8" s="746"/>
      <c r="F8" s="746">
        <f>F6/F7*100</f>
        <v>88.66363566913638</v>
      </c>
      <c r="G8" s="746">
        <f>G6/G7*100</f>
        <v>78.68856796373665</v>
      </c>
      <c r="H8" s="746">
        <f>H6/H7*100</f>
        <v>67.6180405220331</v>
      </c>
      <c r="I8" s="746">
        <f>I6/I7*100</f>
        <v>62.47279653878724</v>
      </c>
      <c r="J8" s="746">
        <f>J6/J7*100</f>
        <v>56.79095184425187</v>
      </c>
      <c r="K8" s="747"/>
      <c r="L8" s="748"/>
      <c r="M8" s="909"/>
    </row>
    <row r="9" spans="1:12" s="368" customFormat="1" ht="26.25" customHeight="1">
      <c r="A9" s="702"/>
      <c r="B9" s="784" t="s">
        <v>304</v>
      </c>
      <c r="C9" s="703" t="s">
        <v>291</v>
      </c>
      <c r="D9" s="746"/>
      <c r="E9" s="910"/>
      <c r="F9" s="911">
        <v>9.409999999999997</v>
      </c>
      <c r="G9" s="911">
        <v>8.829999999999998</v>
      </c>
      <c r="H9" s="746">
        <v>8.260000000000005</v>
      </c>
      <c r="I9" s="746">
        <v>9.079999999999998</v>
      </c>
      <c r="J9" s="746">
        <v>9.840000000000003</v>
      </c>
      <c r="K9" s="750"/>
      <c r="L9" s="748"/>
    </row>
    <row r="10" spans="1:12" s="368" customFormat="1" ht="26.25" customHeight="1" hidden="1">
      <c r="A10" s="702"/>
      <c r="B10" s="784"/>
      <c r="C10" s="703"/>
      <c r="D10" s="746"/>
      <c r="E10" s="910"/>
      <c r="F10" s="745">
        <f>'BM1-CTTH '!F48/1000000</f>
        <v>7.81068</v>
      </c>
      <c r="G10" s="745">
        <f>'BM1-CTTH '!G48/1000000</f>
        <v>8.743139</v>
      </c>
      <c r="H10" s="745">
        <f>'BM1-CTTH '!H48/1000000</f>
        <v>9.465347</v>
      </c>
      <c r="I10" s="745">
        <f>'BM1-CTTH '!I48/1000000</f>
        <v>10.523511</v>
      </c>
      <c r="J10" s="745">
        <f>'BM1-CTTH '!J48/1000000</f>
        <v>11.495685</v>
      </c>
      <c r="K10" s="750"/>
      <c r="L10" s="748"/>
    </row>
    <row r="11" spans="1:14" s="368" customFormat="1" ht="34.5" customHeight="1">
      <c r="A11" s="702"/>
      <c r="B11" s="784" t="s">
        <v>675</v>
      </c>
      <c r="C11" s="703" t="s">
        <v>291</v>
      </c>
      <c r="D11" s="746"/>
      <c r="E11" s="751"/>
      <c r="F11" s="748">
        <f>F6/F10*100</f>
        <v>79.94182324714365</v>
      </c>
      <c r="G11" s="748">
        <f>G6/G10*100</f>
        <v>76.19688992706168</v>
      </c>
      <c r="H11" s="748">
        <f>H6/H10*100</f>
        <v>69.40051960060207</v>
      </c>
      <c r="I11" s="748">
        <f>I6/I10*100</f>
        <v>65.89055686833035</v>
      </c>
      <c r="J11" s="748">
        <f>J6/J10*100</f>
        <v>62.68438983844808</v>
      </c>
      <c r="K11" s="748"/>
      <c r="L11" s="748"/>
      <c r="M11" s="1211">
        <v>241.654</v>
      </c>
      <c r="N11" s="1212">
        <v>1.0851</v>
      </c>
    </row>
    <row r="12" spans="1:14" s="368" customFormat="1" ht="24.75" customHeight="1">
      <c r="A12" s="702"/>
      <c r="B12" s="784" t="s">
        <v>304</v>
      </c>
      <c r="C12" s="703" t="s">
        <v>291</v>
      </c>
      <c r="D12" s="751"/>
      <c r="E12" s="746"/>
      <c r="F12" s="747">
        <v>4.28</v>
      </c>
      <c r="G12" s="747">
        <v>7.189999999999998</v>
      </c>
      <c r="H12" s="747">
        <v>5.980000000000004</v>
      </c>
      <c r="I12" s="747">
        <v>5.909999999999997</v>
      </c>
      <c r="J12" s="747">
        <v>6.319999999999993</v>
      </c>
      <c r="K12" s="751"/>
      <c r="L12" s="748"/>
      <c r="M12" s="368">
        <v>250.375</v>
      </c>
      <c r="N12" s="747">
        <f>M11/N11</f>
        <v>222.7020551101281</v>
      </c>
    </row>
    <row r="13" spans="1:12" s="368" customFormat="1" ht="35.25" customHeight="1" hidden="1">
      <c r="A13" s="702"/>
      <c r="B13" s="784"/>
      <c r="C13" s="703"/>
      <c r="D13" s="746"/>
      <c r="E13" s="751">
        <f aca="true" t="shared" si="0" ref="E13:K13">E15-E14</f>
        <v>-0.7640000000000007</v>
      </c>
      <c r="F13" s="751">
        <f t="shared" si="0"/>
        <v>-0.880531</v>
      </c>
      <c r="G13" s="751">
        <f t="shared" si="0"/>
        <v>-0.928483</v>
      </c>
      <c r="H13" s="751">
        <f t="shared" si="0"/>
        <v>-0.9626279999999996</v>
      </c>
      <c r="I13" s="751">
        <f t="shared" si="0"/>
        <v>-1.4440279999999999</v>
      </c>
      <c r="J13" s="751">
        <f t="shared" si="0"/>
        <v>-2.26691236986849</v>
      </c>
      <c r="K13" s="751">
        <f t="shared" si="0"/>
        <v>-6.482582369868501</v>
      </c>
      <c r="L13" s="748"/>
    </row>
    <row r="14" spans="1:12" s="368" customFormat="1" ht="35.25" customHeight="1" hidden="1">
      <c r="A14" s="702"/>
      <c r="B14" s="784"/>
      <c r="C14" s="703"/>
      <c r="D14" s="746"/>
      <c r="E14" s="746">
        <f>3426/1000</f>
        <v>3.426</v>
      </c>
      <c r="F14" s="748">
        <f>3911.531/1000</f>
        <v>3.911531</v>
      </c>
      <c r="G14" s="748">
        <f>3753.483/1000</f>
        <v>3.753483</v>
      </c>
      <c r="H14" s="748">
        <f>3249.628/1000</f>
        <v>3.249628</v>
      </c>
      <c r="I14" s="748">
        <f>3806.028/1000</f>
        <v>3.806028</v>
      </c>
      <c r="J14" s="752">
        <f>4158.91236986849/1000</f>
        <v>4.1589123698684896</v>
      </c>
      <c r="K14" s="748">
        <f>18879.5823698685/1000</f>
        <v>18.8795823698685</v>
      </c>
      <c r="L14" s="748"/>
    </row>
    <row r="15" spans="1:12" s="368" customFormat="1" ht="35.25" customHeight="1" hidden="1">
      <c r="A15" s="702"/>
      <c r="B15" s="784"/>
      <c r="C15" s="703"/>
      <c r="D15" s="746"/>
      <c r="E15" s="751">
        <f aca="true" t="shared" si="1" ref="E15:J15">E16+E19+E22</f>
        <v>2.6619999999999995</v>
      </c>
      <c r="F15" s="751">
        <f t="shared" si="1"/>
        <v>3.031</v>
      </c>
      <c r="G15" s="751">
        <f t="shared" si="1"/>
        <v>2.825</v>
      </c>
      <c r="H15" s="751">
        <f t="shared" si="1"/>
        <v>2.2870000000000004</v>
      </c>
      <c r="I15" s="751">
        <f t="shared" si="1"/>
        <v>2.362</v>
      </c>
      <c r="J15" s="751">
        <f t="shared" si="1"/>
        <v>1.8919999999999997</v>
      </c>
      <c r="K15" s="748">
        <f>SUM(F15:J15)</f>
        <v>12.397</v>
      </c>
      <c r="L15" s="748"/>
    </row>
    <row r="16" spans="1:15" s="363" customFormat="1" ht="45" customHeight="1">
      <c r="A16" s="704">
        <v>1</v>
      </c>
      <c r="B16" s="705" t="s">
        <v>676</v>
      </c>
      <c r="C16" s="703" t="s">
        <v>303</v>
      </c>
      <c r="D16" s="917">
        <f>11.1316-D19-D22</f>
        <v>5.914000000000001</v>
      </c>
      <c r="E16" s="917">
        <f>2.662-E19-E22</f>
        <v>1.7852329999999998</v>
      </c>
      <c r="F16" s="917">
        <f>3.031-F19-F22</f>
        <v>1.4776650000000002</v>
      </c>
      <c r="G16" s="917">
        <f>2.825-G19-G22</f>
        <v>1.916310133</v>
      </c>
      <c r="H16" s="917">
        <f>2.287-H19-H22</f>
        <v>1.1471</v>
      </c>
      <c r="I16" s="917">
        <f>2.362-I19-I22</f>
        <v>1.3370000000000002</v>
      </c>
      <c r="J16" s="917">
        <f>1.892-J19-J22</f>
        <v>1.4119999999999997</v>
      </c>
      <c r="K16" s="917">
        <f>SUM(F16:J16)</f>
        <v>7.290075133000001</v>
      </c>
      <c r="L16" s="753" t="s">
        <v>36</v>
      </c>
      <c r="M16" s="708">
        <f>K16+K19+K34+K22</f>
        <v>17.998</v>
      </c>
      <c r="N16" s="915"/>
      <c r="O16" s="912">
        <f>N12*N11</f>
        <v>241.654</v>
      </c>
    </row>
    <row r="17" spans="1:14" s="368" customFormat="1" ht="26.25" customHeight="1">
      <c r="A17" s="702"/>
      <c r="B17" s="784" t="s">
        <v>677</v>
      </c>
      <c r="C17" s="703" t="s">
        <v>291</v>
      </c>
      <c r="D17" s="917"/>
      <c r="E17" s="755"/>
      <c r="F17" s="748">
        <f aca="true" t="shared" si="2" ref="F17:K17">F16/F6*100</f>
        <v>23.665358744394624</v>
      </c>
      <c r="G17" s="748">
        <f t="shared" si="2"/>
        <v>28.764787346142302</v>
      </c>
      <c r="H17" s="748">
        <f t="shared" si="2"/>
        <v>17.462323032425026</v>
      </c>
      <c r="I17" s="748">
        <f t="shared" si="2"/>
        <v>19.281799826939718</v>
      </c>
      <c r="J17" s="748">
        <f t="shared" si="2"/>
        <v>19.594782126006102</v>
      </c>
      <c r="K17" s="748">
        <f t="shared" si="2"/>
        <v>21.686970498289458</v>
      </c>
      <c r="L17" s="748"/>
      <c r="N17" s="1213">
        <f>M12/N12</f>
        <v>1.124259943969477</v>
      </c>
    </row>
    <row r="18" spans="1:13" s="368" customFormat="1" ht="26.25" customHeight="1">
      <c r="A18" s="702"/>
      <c r="B18" s="784" t="s">
        <v>304</v>
      </c>
      <c r="C18" s="703" t="s">
        <v>291</v>
      </c>
      <c r="D18" s="918"/>
      <c r="E18" s="746"/>
      <c r="F18" s="748">
        <f>F16/E16*100-100</f>
        <v>-17.2284514122246</v>
      </c>
      <c r="G18" s="748">
        <f>G16/F16*100-100</f>
        <v>29.68501879654724</v>
      </c>
      <c r="H18" s="748">
        <f>H16/G16*100-100</f>
        <v>-40.140169367877576</v>
      </c>
      <c r="I18" s="748">
        <f>I16/H16*100-100</f>
        <v>16.554790340859583</v>
      </c>
      <c r="J18" s="748">
        <f>J16/I16*100-100</f>
        <v>5.60957367240087</v>
      </c>
      <c r="K18" s="1054">
        <f>((J16/E16)^(1/5))*100-100</f>
        <v>-4.58251658065312</v>
      </c>
      <c r="L18" s="756"/>
      <c r="M18" s="909">
        <f>M16-5.601</f>
        <v>12.397000000000002</v>
      </c>
    </row>
    <row r="19" spans="1:14" s="363" customFormat="1" ht="36.75" customHeight="1">
      <c r="A19" s="704">
        <v>2</v>
      </c>
      <c r="B19" s="705" t="s">
        <v>678</v>
      </c>
      <c r="C19" s="703" t="s">
        <v>303</v>
      </c>
      <c r="D19" s="1010">
        <v>5.1726</v>
      </c>
      <c r="E19" s="965">
        <v>0.845</v>
      </c>
      <c r="F19" s="965">
        <v>1.517</v>
      </c>
      <c r="G19" s="745">
        <v>0.809</v>
      </c>
      <c r="H19" s="965">
        <v>1.03</v>
      </c>
      <c r="I19" s="965">
        <v>0.945</v>
      </c>
      <c r="J19" s="965">
        <f>0.37</f>
        <v>0.37</v>
      </c>
      <c r="K19" s="965">
        <f>SUM(F19:J19)</f>
        <v>4.671</v>
      </c>
      <c r="L19" s="753" t="s">
        <v>714</v>
      </c>
      <c r="M19" s="754">
        <f>K16+K19+K22</f>
        <v>12.397000000000002</v>
      </c>
      <c r="N19" s="912"/>
    </row>
    <row r="20" spans="1:13" s="368" customFormat="1" ht="24" customHeight="1">
      <c r="A20" s="702"/>
      <c r="B20" s="784" t="s">
        <v>677</v>
      </c>
      <c r="C20" s="703" t="s">
        <v>291</v>
      </c>
      <c r="D20" s="919"/>
      <c r="E20" s="757">
        <f aca="true" t="shared" si="3" ref="E20:K20">E19/E6*100</f>
        <v>15.695391275888571</v>
      </c>
      <c r="F20" s="757">
        <f t="shared" si="3"/>
        <v>24.295323510570146</v>
      </c>
      <c r="G20" s="757">
        <f t="shared" si="3"/>
        <v>12.143500450315221</v>
      </c>
      <c r="H20" s="757">
        <f t="shared" si="3"/>
        <v>15.679707718069722</v>
      </c>
      <c r="I20" s="757">
        <f>I19/I6*100</f>
        <v>13.628497259878857</v>
      </c>
      <c r="J20" s="757">
        <f t="shared" si="3"/>
        <v>5.134610047182903</v>
      </c>
      <c r="K20" s="757">
        <f t="shared" si="3"/>
        <v>13.895582329317268</v>
      </c>
      <c r="L20" s="748"/>
      <c r="M20" s="1261">
        <f>K25/K6</f>
        <v>0.031714710694630374</v>
      </c>
    </row>
    <row r="21" spans="1:13" s="368" customFormat="1" ht="24" customHeight="1">
      <c r="A21" s="702"/>
      <c r="B21" s="784" t="s">
        <v>304</v>
      </c>
      <c r="C21" s="703" t="s">
        <v>291</v>
      </c>
      <c r="D21" s="917"/>
      <c r="E21" s="758"/>
      <c r="F21" s="748">
        <f>F19/E19*100-100</f>
        <v>79.52662721893492</v>
      </c>
      <c r="G21" s="748">
        <f>G19/F19*100-100</f>
        <v>-46.67106130520764</v>
      </c>
      <c r="H21" s="748">
        <f>H19/G19*100-100</f>
        <v>27.31767614338689</v>
      </c>
      <c r="I21" s="748">
        <f>I19/H19*100-100</f>
        <v>-8.252427184466029</v>
      </c>
      <c r="J21" s="748">
        <f>J19/I19*100-100</f>
        <v>-60.84656084656084</v>
      </c>
      <c r="K21" s="1054">
        <f>((J19/E19)^(1/5))*100-100</f>
        <v>-15.224764864969544</v>
      </c>
      <c r="L21" s="748"/>
      <c r="M21" s="575">
        <v>18.303</v>
      </c>
    </row>
    <row r="22" spans="1:14" s="631" customFormat="1" ht="41.25" customHeight="1">
      <c r="A22" s="700">
        <v>3</v>
      </c>
      <c r="B22" s="759" t="s">
        <v>679</v>
      </c>
      <c r="C22" s="701" t="s">
        <v>303</v>
      </c>
      <c r="D22" s="1010">
        <v>0.045</v>
      </c>
      <c r="E22" s="745">
        <v>0.031767</v>
      </c>
      <c r="F22" s="760">
        <v>0.036335</v>
      </c>
      <c r="G22" s="760">
        <v>0.099689867</v>
      </c>
      <c r="H22" s="1011">
        <v>0.1099</v>
      </c>
      <c r="I22" s="745">
        <f>0.08</f>
        <v>0.08</v>
      </c>
      <c r="J22" s="745">
        <v>0.11</v>
      </c>
      <c r="K22" s="760">
        <f>SUM(F22:J22)</f>
        <v>0.435924867</v>
      </c>
      <c r="L22" s="753" t="s">
        <v>36</v>
      </c>
      <c r="M22" s="1261">
        <f>M21/K6</f>
        <v>0.5444890673806336</v>
      </c>
      <c r="N22" s="913"/>
    </row>
    <row r="23" spans="1:14" s="368" customFormat="1" ht="21" customHeight="1">
      <c r="A23" s="702"/>
      <c r="B23" s="784" t="s">
        <v>677</v>
      </c>
      <c r="C23" s="703" t="s">
        <v>291</v>
      </c>
      <c r="D23" s="918"/>
      <c r="E23" s="746"/>
      <c r="F23" s="748">
        <f aca="true" t="shared" si="4" ref="F23:K23">F22/F6*100</f>
        <v>0.5819186418962204</v>
      </c>
      <c r="G23" s="748">
        <f t="shared" si="4"/>
        <v>1.496395481837286</v>
      </c>
      <c r="H23" s="748">
        <f>H22/H6*100</f>
        <v>1.673009590500837</v>
      </c>
      <c r="I23" s="748">
        <f t="shared" si="4"/>
        <v>1.1537352177675224</v>
      </c>
      <c r="J23" s="748">
        <f t="shared" si="4"/>
        <v>1.5265056897030254</v>
      </c>
      <c r="K23" s="748">
        <f t="shared" si="4"/>
        <v>1.2968165015618027</v>
      </c>
      <c r="L23" s="752">
        <f>F22+G22+H22+I22+F25+G25+H25+I25</f>
        <v>1.1720148670000001</v>
      </c>
      <c r="M23" s="916"/>
      <c r="N23" s="914"/>
    </row>
    <row r="24" spans="1:12" s="368" customFormat="1" ht="21" customHeight="1">
      <c r="A24" s="702"/>
      <c r="B24" s="784" t="s">
        <v>304</v>
      </c>
      <c r="C24" s="703" t="s">
        <v>291</v>
      </c>
      <c r="D24" s="918"/>
      <c r="E24" s="746"/>
      <c r="F24" s="748">
        <f>F22/E22*100-100</f>
        <v>14.379702206692485</v>
      </c>
      <c r="G24" s="748">
        <f>G22/F22*100-100</f>
        <v>174.36319526627221</v>
      </c>
      <c r="H24" s="748">
        <f>H22/G22*100-100</f>
        <v>10.241896500875058</v>
      </c>
      <c r="I24" s="748">
        <f>I22/H22*100-100</f>
        <v>-27.206551410373052</v>
      </c>
      <c r="J24" s="748">
        <f>J22/I22*100-100</f>
        <v>37.5</v>
      </c>
      <c r="K24" s="1054">
        <f>((J22/E22)^(1/5))*100-100</f>
        <v>28.198604119426903</v>
      </c>
      <c r="L24" s="748"/>
    </row>
    <row r="25" spans="1:12" s="631" customFormat="1" ht="40.5" customHeight="1">
      <c r="A25" s="700">
        <v>4</v>
      </c>
      <c r="B25" s="759" t="s">
        <v>680</v>
      </c>
      <c r="C25" s="701" t="s">
        <v>303</v>
      </c>
      <c r="D25" s="1010">
        <f>0.616728-0.255</f>
        <v>0.36172800000000005</v>
      </c>
      <c r="E25" s="745">
        <f>159746/1000000</f>
        <v>0.159746</v>
      </c>
      <c r="F25" s="745">
        <v>0.160718</v>
      </c>
      <c r="G25" s="745">
        <v>0.205372</v>
      </c>
      <c r="H25" s="745">
        <v>0.226</v>
      </c>
      <c r="I25" s="745">
        <v>0.254</v>
      </c>
      <c r="J25" s="745">
        <v>0.22</v>
      </c>
      <c r="K25" s="760">
        <f>SUM(F25:J25)</f>
        <v>1.06609</v>
      </c>
      <c r="L25" s="753" t="s">
        <v>36</v>
      </c>
    </row>
    <row r="26" spans="1:12" ht="25.5" customHeight="1">
      <c r="A26" s="706"/>
      <c r="B26" s="785" t="s">
        <v>677</v>
      </c>
      <c r="C26" s="703" t="s">
        <v>291</v>
      </c>
      <c r="D26" s="670"/>
      <c r="E26" s="670"/>
      <c r="F26" s="762">
        <f aca="true" t="shared" si="5" ref="F26:K26">F25/F6*100</f>
        <v>2.573959000640615</v>
      </c>
      <c r="G26" s="762">
        <f t="shared" si="5"/>
        <v>3.082737916541579</v>
      </c>
      <c r="H26" s="762">
        <f t="shared" si="5"/>
        <v>3.4404018876541334</v>
      </c>
      <c r="I26" s="762">
        <f t="shared" si="5"/>
        <v>3.6631093164118833</v>
      </c>
      <c r="J26" s="762">
        <f t="shared" si="5"/>
        <v>3.0530113794060507</v>
      </c>
      <c r="K26" s="762">
        <f t="shared" si="5"/>
        <v>3.1714710694630375</v>
      </c>
      <c r="L26" s="1058">
        <f>J28/2</f>
        <v>1.8875</v>
      </c>
    </row>
    <row r="27" spans="1:12" ht="25.5" customHeight="1">
      <c r="A27" s="706"/>
      <c r="B27" s="785" t="s">
        <v>304</v>
      </c>
      <c r="C27" s="703" t="s">
        <v>291</v>
      </c>
      <c r="D27" s="670"/>
      <c r="E27" s="670"/>
      <c r="F27" s="762">
        <f>F25/E25*100-100</f>
        <v>0.6084659396792489</v>
      </c>
      <c r="G27" s="762">
        <f>G25/F25*100-100</f>
        <v>27.784068990405558</v>
      </c>
      <c r="H27" s="762">
        <f>H25/G25*100-100</f>
        <v>10.044212453499028</v>
      </c>
      <c r="I27" s="762">
        <f>I25/H25*100-100</f>
        <v>12.389380530973455</v>
      </c>
      <c r="J27" s="762">
        <f>J25/I25*100-100</f>
        <v>-13.38582677165354</v>
      </c>
      <c r="K27" s="1054">
        <f>((J25/E25)^(1/5))*100-100</f>
        <v>6.610145899304243</v>
      </c>
      <c r="L27" s="1059">
        <f>J25+L26</f>
        <v>2.1075</v>
      </c>
    </row>
    <row r="28" spans="1:14" s="363" customFormat="1" ht="42.75" customHeight="1">
      <c r="A28" s="704">
        <v>5</v>
      </c>
      <c r="B28" s="705" t="s">
        <v>681</v>
      </c>
      <c r="C28" s="703" t="s">
        <v>303</v>
      </c>
      <c r="D28" s="1012">
        <v>8</v>
      </c>
      <c r="E28" s="1012">
        <f>1.92-0.16</f>
        <v>1.76</v>
      </c>
      <c r="F28" s="1012">
        <f>2.396-F25</f>
        <v>2.2352819999999998</v>
      </c>
      <c r="G28" s="1012">
        <f>2.929-G25</f>
        <v>2.7236279999999997</v>
      </c>
      <c r="H28" s="1012">
        <v>2.824</v>
      </c>
      <c r="I28" s="1012">
        <v>2.993</v>
      </c>
      <c r="J28" s="1012">
        <f>3.995-J25</f>
        <v>3.775</v>
      </c>
      <c r="K28" s="745">
        <f>SUM(F28:J28)</f>
        <v>14.55091</v>
      </c>
      <c r="L28" s="753" t="s">
        <v>36</v>
      </c>
      <c r="M28" s="906">
        <v>2.718</v>
      </c>
      <c r="N28" s="907" t="e">
        <f>#REF!-M28</f>
        <v>#REF!</v>
      </c>
    </row>
    <row r="29" spans="1:16" s="368" customFormat="1" ht="22.5" customHeight="1">
      <c r="A29" s="702"/>
      <c r="B29" s="784" t="s">
        <v>677</v>
      </c>
      <c r="C29" s="703" t="s">
        <v>291</v>
      </c>
      <c r="D29" s="746"/>
      <c r="E29" s="746"/>
      <c r="F29" s="748">
        <f aca="true" t="shared" si="6" ref="F29:K29">F28/F6*100</f>
        <v>35.798878923766814</v>
      </c>
      <c r="G29" s="748">
        <f t="shared" si="6"/>
        <v>40.883038126688675</v>
      </c>
      <c r="H29" s="748">
        <f t="shared" si="6"/>
        <v>42.98980057847465</v>
      </c>
      <c r="I29" s="748">
        <f t="shared" si="6"/>
        <v>43.164118834727425</v>
      </c>
      <c r="J29" s="748">
        <f t="shared" si="6"/>
        <v>52.386899805717455</v>
      </c>
      <c r="K29" s="748">
        <f t="shared" si="6"/>
        <v>43.28695522832069</v>
      </c>
      <c r="L29" s="752">
        <f>K28-J28</f>
        <v>10.77591</v>
      </c>
      <c r="M29" s="632">
        <v>15.637</v>
      </c>
      <c r="N29" s="916">
        <f>K28/K6</f>
        <v>0.4328695522832069</v>
      </c>
      <c r="O29" s="632"/>
      <c r="P29" s="632"/>
    </row>
    <row r="30" spans="1:13" s="368" customFormat="1" ht="23.25" customHeight="1">
      <c r="A30" s="702"/>
      <c r="B30" s="784" t="s">
        <v>304</v>
      </c>
      <c r="C30" s="703" t="s">
        <v>291</v>
      </c>
      <c r="D30" s="746"/>
      <c r="E30" s="746"/>
      <c r="F30" s="748">
        <f>F28/E28*100-100</f>
        <v>27.004659090909072</v>
      </c>
      <c r="G30" s="748">
        <f>G28/F28*100-100</f>
        <v>21.847176329429587</v>
      </c>
      <c r="H30" s="748">
        <f>H28/G28*100-100</f>
        <v>3.6852316101905274</v>
      </c>
      <c r="I30" s="748">
        <f>I28/H28*100-100</f>
        <v>5.984419263456104</v>
      </c>
      <c r="J30" s="748">
        <f>J28/I28*100-100</f>
        <v>26.127631139325104</v>
      </c>
      <c r="K30" s="1054">
        <f>((J28/E28)^(1/5))*100-100</f>
        <v>16.48791115576313</v>
      </c>
      <c r="L30" s="748"/>
      <c r="M30" s="1062">
        <f>L29+M29</f>
        <v>26.41291</v>
      </c>
    </row>
    <row r="31" spans="1:12" s="363" customFormat="1" ht="34.5" customHeight="1">
      <c r="A31" s="704">
        <v>6</v>
      </c>
      <c r="B31" s="705" t="s">
        <v>705</v>
      </c>
      <c r="C31" s="703" t="s">
        <v>303</v>
      </c>
      <c r="D31" s="763">
        <f>(20+24+28.8+34.6)/1000</f>
        <v>0.10740000000000001</v>
      </c>
      <c r="E31" s="764"/>
      <c r="F31" s="765"/>
      <c r="G31" s="766"/>
      <c r="H31" s="765"/>
      <c r="I31" s="764"/>
      <c r="J31" s="765"/>
      <c r="K31" s="761"/>
      <c r="L31" s="753" t="s">
        <v>714</v>
      </c>
    </row>
    <row r="32" spans="1:12" s="368" customFormat="1" ht="22.5" customHeight="1">
      <c r="A32" s="702"/>
      <c r="B32" s="784" t="s">
        <v>677</v>
      </c>
      <c r="C32" s="703" t="s">
        <v>291</v>
      </c>
      <c r="D32" s="746"/>
      <c r="E32" s="746"/>
      <c r="F32" s="748"/>
      <c r="G32" s="748"/>
      <c r="H32" s="748"/>
      <c r="I32" s="751"/>
      <c r="J32" s="751"/>
      <c r="K32" s="748"/>
      <c r="L32" s="748"/>
    </row>
    <row r="33" spans="1:12" s="368" customFormat="1" ht="21" customHeight="1">
      <c r="A33" s="702"/>
      <c r="B33" s="784" t="s">
        <v>304</v>
      </c>
      <c r="C33" s="703" t="s">
        <v>291</v>
      </c>
      <c r="D33" s="746"/>
      <c r="E33" s="746"/>
      <c r="F33" s="748"/>
      <c r="G33" s="748"/>
      <c r="H33" s="748"/>
      <c r="I33" s="751"/>
      <c r="J33" s="751"/>
      <c r="K33" s="748"/>
      <c r="L33" s="748"/>
    </row>
    <row r="34" spans="1:12" s="363" customFormat="1" ht="33.75" customHeight="1">
      <c r="A34" s="704">
        <v>7</v>
      </c>
      <c r="B34" s="705" t="s">
        <v>732</v>
      </c>
      <c r="C34" s="699" t="s">
        <v>303</v>
      </c>
      <c r="D34" s="658">
        <v>10.399</v>
      </c>
      <c r="E34" s="1013">
        <v>0.802</v>
      </c>
      <c r="F34" s="965">
        <v>0.817</v>
      </c>
      <c r="G34" s="745">
        <v>0.908</v>
      </c>
      <c r="H34" s="745">
        <v>1.232</v>
      </c>
      <c r="I34" s="745">
        <v>1.325</v>
      </c>
      <c r="J34" s="745">
        <v>1.319</v>
      </c>
      <c r="K34" s="760">
        <f>SUM(F34:J34)</f>
        <v>5.601</v>
      </c>
      <c r="L34" s="753" t="s">
        <v>714</v>
      </c>
    </row>
    <row r="35" spans="1:12" s="368" customFormat="1" ht="20.25" customHeight="1">
      <c r="A35" s="702"/>
      <c r="B35" s="784" t="s">
        <v>677</v>
      </c>
      <c r="C35" s="703" t="s">
        <v>5</v>
      </c>
      <c r="D35" s="749"/>
      <c r="E35" s="749"/>
      <c r="F35" s="755"/>
      <c r="G35" s="767"/>
      <c r="H35" s="768"/>
      <c r="I35" s="768"/>
      <c r="J35" s="768"/>
      <c r="K35" s="748"/>
      <c r="L35" s="748"/>
    </row>
    <row r="36" spans="1:12" s="368" customFormat="1" ht="20.25" customHeight="1">
      <c r="A36" s="702"/>
      <c r="B36" s="784" t="s">
        <v>304</v>
      </c>
      <c r="C36" s="703" t="s">
        <v>291</v>
      </c>
      <c r="D36" s="757"/>
      <c r="E36" s="757"/>
      <c r="F36" s="757"/>
      <c r="G36" s="757"/>
      <c r="H36" s="757"/>
      <c r="I36" s="757"/>
      <c r="J36" s="757"/>
      <c r="K36" s="748"/>
      <c r="L36" s="748"/>
    </row>
    <row r="37" spans="2:12" ht="39" customHeight="1">
      <c r="B37" s="1324" t="s">
        <v>682</v>
      </c>
      <c r="C37" s="1324"/>
      <c r="D37" s="1324"/>
      <c r="E37" s="1324"/>
      <c r="F37" s="1324"/>
      <c r="G37" s="1324"/>
      <c r="H37" s="1324"/>
      <c r="I37" s="1324"/>
      <c r="J37" s="1324"/>
      <c r="K37" s="1324"/>
      <c r="L37" s="1324"/>
    </row>
    <row r="38" spans="2:7" ht="27" customHeight="1">
      <c r="B38" s="1325" t="s">
        <v>683</v>
      </c>
      <c r="C38" s="1325"/>
      <c r="D38" s="1325"/>
      <c r="E38" s="1325"/>
      <c r="F38" s="1325"/>
      <c r="G38" s="1325"/>
    </row>
  </sheetData>
  <sheetProtection/>
  <mergeCells count="7">
    <mergeCell ref="B37:G37"/>
    <mergeCell ref="H37:L37"/>
    <mergeCell ref="B38:G38"/>
    <mergeCell ref="K1:L1"/>
    <mergeCell ref="B2:L2"/>
    <mergeCell ref="A3:L3"/>
    <mergeCell ref="K4:L4"/>
  </mergeCells>
  <printOptions/>
  <pageMargins left="0.81" right="0.48" top="0.48" bottom="0.44" header="0.28" footer="0.2"/>
  <pageSetup horizontalDpi="600" verticalDpi="600" orientation="landscape" paperSize="9" scale="92" r:id="rId1"/>
  <headerFooter alignWithMargins="0">
    <oddFooter>&amp;R&amp;P/&amp;N</oddFooter>
  </headerFooter>
</worksheet>
</file>

<file path=xl/worksheets/sheet13.xml><?xml version="1.0" encoding="utf-8"?>
<worksheet xmlns="http://schemas.openxmlformats.org/spreadsheetml/2006/main" xmlns:r="http://schemas.openxmlformats.org/officeDocument/2006/relationships">
  <dimension ref="A1:AA251"/>
  <sheetViews>
    <sheetView zoomScale="85" zoomScaleNormal="85" zoomScaleSheetLayoutView="100" workbookViewId="0" topLeftCell="A1">
      <selection activeCell="I1" sqref="I1:J1"/>
    </sheetView>
  </sheetViews>
  <sheetFormatPr defaultColWidth="9.140625" defaultRowHeight="12.75"/>
  <cols>
    <col min="1" max="1" width="6.140625" style="689" customWidth="1"/>
    <col min="2" max="2" width="33.140625" style="690" customWidth="1"/>
    <col min="3" max="3" width="12.28125" style="691" customWidth="1"/>
    <col min="4" max="4" width="11.28125" style="691" customWidth="1"/>
    <col min="5" max="5" width="9.421875" style="691" customWidth="1"/>
    <col min="6" max="6" width="9.8515625" style="690" customWidth="1"/>
    <col min="7" max="7" width="10.57421875" style="692" customWidth="1"/>
    <col min="8" max="8" width="10.8515625" style="692" customWidth="1"/>
    <col min="9" max="9" width="13.28125" style="692" customWidth="1"/>
    <col min="10" max="10" width="16.7109375" style="692" customWidth="1"/>
    <col min="11" max="11" width="16.140625" style="693" hidden="1" customWidth="1"/>
    <col min="12" max="12" width="18.8515625" style="638" hidden="1" customWidth="1"/>
    <col min="13" max="14" width="14.7109375" style="638" hidden="1" customWidth="1"/>
    <col min="15" max="15" width="13.7109375" style="638" hidden="1" customWidth="1"/>
    <col min="16" max="16" width="16.57421875" style="638" hidden="1" customWidth="1"/>
    <col min="17" max="17" width="17.28125" style="638" hidden="1" customWidth="1"/>
    <col min="18" max="18" width="18.421875" style="638" customWidth="1"/>
    <col min="19" max="19" width="22.7109375" style="638" customWidth="1"/>
    <col min="20" max="20" width="21.00390625" style="638" customWidth="1"/>
    <col min="21" max="26" width="9.140625" style="638" customWidth="1"/>
    <col min="27" max="27" width="15.00390625" style="638" bestFit="1" customWidth="1"/>
    <col min="28" max="16384" width="9.140625" style="638" customWidth="1"/>
  </cols>
  <sheetData>
    <row r="1" spans="2:10" s="635" customFormat="1" ht="30" customHeight="1">
      <c r="B1" s="781" t="s">
        <v>684</v>
      </c>
      <c r="C1" s="727"/>
      <c r="D1" s="727"/>
      <c r="E1" s="728"/>
      <c r="F1" s="728"/>
      <c r="G1" s="728"/>
      <c r="H1" s="1014" t="s">
        <v>357</v>
      </c>
      <c r="I1" s="1334" t="s">
        <v>358</v>
      </c>
      <c r="J1" s="1334"/>
    </row>
    <row r="2" spans="2:11" s="364" customFormat="1" ht="16.5" customHeight="1">
      <c r="B2" s="1335" t="s">
        <v>463</v>
      </c>
      <c r="C2" s="1335"/>
      <c r="D2" s="1335"/>
      <c r="E2" s="1335"/>
      <c r="F2" s="1335"/>
      <c r="G2" s="1335"/>
      <c r="H2" s="1335"/>
      <c r="I2" s="1335"/>
      <c r="J2" s="1335"/>
      <c r="K2" s="421"/>
    </row>
    <row r="3" spans="1:16" ht="36.75" customHeight="1">
      <c r="A3" s="1336" t="s">
        <v>721</v>
      </c>
      <c r="B3" s="1337"/>
      <c r="C3" s="1337"/>
      <c r="D3" s="1337"/>
      <c r="E3" s="1337"/>
      <c r="F3" s="1337"/>
      <c r="G3" s="1337"/>
      <c r="H3" s="1337"/>
      <c r="I3" s="1337"/>
      <c r="J3" s="1337"/>
      <c r="K3" s="636">
        <v>9</v>
      </c>
      <c r="L3" s="637">
        <v>3008.782758776</v>
      </c>
      <c r="M3" s="637">
        <v>2774.583573209</v>
      </c>
      <c r="N3" s="637">
        <v>2401.747620824</v>
      </c>
      <c r="O3" s="637">
        <v>2287.76</v>
      </c>
      <c r="P3" s="637">
        <v>3634.9951213890004</v>
      </c>
    </row>
    <row r="4" spans="1:16" ht="26.25" customHeight="1">
      <c r="A4" s="639"/>
      <c r="B4" s="640"/>
      <c r="C4" s="641"/>
      <c r="D4" s="641"/>
      <c r="E4" s="641"/>
      <c r="F4" s="642"/>
      <c r="G4" s="643"/>
      <c r="H4" s="643"/>
      <c r="I4" s="644"/>
      <c r="J4" s="645" t="s">
        <v>685</v>
      </c>
      <c r="K4" s="646"/>
      <c r="L4" s="647">
        <f>D18</f>
        <v>3847.5827587759986</v>
      </c>
      <c r="M4" s="647">
        <f>E18</f>
        <v>3733.2121524605714</v>
      </c>
      <c r="N4" s="647">
        <f>F18</f>
        <v>3519.0241963174</v>
      </c>
      <c r="O4" s="647">
        <f>G18</f>
        <v>3687.2151477961584</v>
      </c>
      <c r="P4" s="647">
        <f>H18</f>
        <v>3516.0624122493327</v>
      </c>
    </row>
    <row r="5" spans="1:20" s="650" customFormat="1" ht="49.5">
      <c r="A5" s="648"/>
      <c r="B5" s="649" t="s">
        <v>278</v>
      </c>
      <c r="C5" s="384" t="s">
        <v>297</v>
      </c>
      <c r="D5" s="384" t="s">
        <v>298</v>
      </c>
      <c r="E5" s="384" t="s">
        <v>299</v>
      </c>
      <c r="F5" s="384" t="s">
        <v>300</v>
      </c>
      <c r="G5" s="384" t="s">
        <v>799</v>
      </c>
      <c r="H5" s="384" t="s">
        <v>301</v>
      </c>
      <c r="I5" s="384" t="s">
        <v>302</v>
      </c>
      <c r="J5" s="384" t="s">
        <v>720</v>
      </c>
      <c r="K5" s="1333" t="s">
        <v>673</v>
      </c>
      <c r="L5" s="1328"/>
      <c r="M5" s="1328"/>
      <c r="N5" s="650" t="s">
        <v>686</v>
      </c>
      <c r="T5" s="729"/>
    </row>
    <row r="6" spans="1:11" s="652" customFormat="1" ht="62.25" customHeight="1" hidden="1">
      <c r="A6" s="656"/>
      <c r="B6" s="649" t="s">
        <v>215</v>
      </c>
      <c r="C6" s="730"/>
      <c r="D6" s="730"/>
      <c r="E6" s="730"/>
      <c r="F6" s="674"/>
      <c r="G6" s="674"/>
      <c r="H6" s="674"/>
      <c r="I6" s="674"/>
      <c r="J6" s="674"/>
      <c r="K6" s="651"/>
    </row>
    <row r="7" spans="1:11" s="654" customFormat="1" ht="62.25" customHeight="1" hidden="1">
      <c r="A7" s="656" t="s">
        <v>3</v>
      </c>
      <c r="B7" s="731" t="s">
        <v>274</v>
      </c>
      <c r="C7" s="678"/>
      <c r="D7" s="732"/>
      <c r="E7" s="678"/>
      <c r="F7" s="674"/>
      <c r="G7" s="674"/>
      <c r="H7" s="674"/>
      <c r="I7" s="674"/>
      <c r="J7" s="674"/>
      <c r="K7" s="653"/>
    </row>
    <row r="8" spans="1:11" ht="66" hidden="1">
      <c r="A8" s="666"/>
      <c r="B8" s="733" t="s">
        <v>273</v>
      </c>
      <c r="C8" s="679"/>
      <c r="D8" s="734"/>
      <c r="E8" s="679"/>
      <c r="F8" s="681">
        <f>+'[4]cc2006'!C7+'[4]cc2006'!C8</f>
        <v>120</v>
      </c>
      <c r="G8" s="681">
        <f>+'[4]cc2007'!C8</f>
        <v>220</v>
      </c>
      <c r="H8" s="681">
        <f>+'[4]cc2008'!C8</f>
        <v>200</v>
      </c>
      <c r="I8" s="681"/>
      <c r="J8" s="681"/>
      <c r="K8" s="655"/>
    </row>
    <row r="9" spans="1:11" ht="49.5" hidden="1">
      <c r="A9" s="666"/>
      <c r="B9" s="733" t="s">
        <v>272</v>
      </c>
      <c r="C9" s="679"/>
      <c r="D9" s="734"/>
      <c r="E9" s="679"/>
      <c r="F9" s="681">
        <f>+'[4]cc2006'!C9</f>
        <v>300</v>
      </c>
      <c r="G9" s="681">
        <f>+'[4]cc2007'!C9</f>
        <v>200</v>
      </c>
      <c r="H9" s="681">
        <f>+'[4]cc2008'!C9</f>
        <v>200</v>
      </c>
      <c r="I9" s="681"/>
      <c r="J9" s="681"/>
      <c r="K9" s="655"/>
    </row>
    <row r="10" spans="1:11" ht="33" hidden="1">
      <c r="A10" s="666"/>
      <c r="B10" s="733" t="s">
        <v>271</v>
      </c>
      <c r="C10" s="679"/>
      <c r="D10" s="734"/>
      <c r="E10" s="679"/>
      <c r="F10" s="681">
        <f>+'[4]cc2006'!C10</f>
        <v>2000</v>
      </c>
      <c r="G10" s="681">
        <f>+'[4]cc2007'!C10</f>
        <v>2500</v>
      </c>
      <c r="H10" s="681">
        <f>+'[4]cc2008'!C10</f>
        <v>2300</v>
      </c>
      <c r="I10" s="681"/>
      <c r="J10" s="681"/>
      <c r="K10" s="655"/>
    </row>
    <row r="11" spans="1:11" ht="16.5" hidden="1">
      <c r="A11" s="666"/>
      <c r="B11" s="667" t="s">
        <v>270</v>
      </c>
      <c r="C11" s="679"/>
      <c r="D11" s="679"/>
      <c r="E11" s="679"/>
      <c r="F11" s="681"/>
      <c r="G11" s="681"/>
      <c r="H11" s="681">
        <f>+'[4]cc2008'!C11</f>
        <v>120</v>
      </c>
      <c r="I11" s="681"/>
      <c r="J11" s="681"/>
      <c r="K11" s="655"/>
    </row>
    <row r="12" spans="1:11" ht="33" hidden="1">
      <c r="A12" s="666"/>
      <c r="B12" s="735" t="s">
        <v>269</v>
      </c>
      <c r="C12" s="736"/>
      <c r="D12" s="736"/>
      <c r="E12" s="736"/>
      <c r="F12" s="681"/>
      <c r="G12" s="681"/>
      <c r="H12" s="681"/>
      <c r="I12" s="681"/>
      <c r="J12" s="681"/>
      <c r="K12" s="655"/>
    </row>
    <row r="13" spans="1:11" ht="99" hidden="1">
      <c r="A13" s="666"/>
      <c r="B13" s="735" t="s">
        <v>268</v>
      </c>
      <c r="C13" s="736"/>
      <c r="D13" s="736"/>
      <c r="E13" s="736"/>
      <c r="F13" s="681">
        <f>+'[4]cc2006'!C11</f>
        <v>150</v>
      </c>
      <c r="G13" s="681" t="e">
        <f>+'[4]cc2007'!C11</f>
        <v>#REF!</v>
      </c>
      <c r="H13" s="681"/>
      <c r="I13" s="681"/>
      <c r="J13" s="681"/>
      <c r="K13" s="655"/>
    </row>
    <row r="14" spans="1:11" ht="16.5" hidden="1">
      <c r="A14" s="666"/>
      <c r="B14" s="735" t="s">
        <v>267</v>
      </c>
      <c r="C14" s="736"/>
      <c r="D14" s="736"/>
      <c r="E14" s="736"/>
      <c r="F14" s="681"/>
      <c r="G14" s="681">
        <f>+'[4]cc2007'!C13</f>
        <v>100</v>
      </c>
      <c r="H14" s="681"/>
      <c r="I14" s="681"/>
      <c r="J14" s="681"/>
      <c r="K14" s="655"/>
    </row>
    <row r="15" spans="1:11" ht="16.5" hidden="1">
      <c r="A15" s="666"/>
      <c r="B15" s="667" t="s">
        <v>266</v>
      </c>
      <c r="C15" s="679"/>
      <c r="D15" s="679"/>
      <c r="E15" s="679"/>
      <c r="F15" s="681"/>
      <c r="G15" s="681">
        <f>+'[4]cc2007'!C12</f>
        <v>1000</v>
      </c>
      <c r="H15" s="681">
        <f>+'[4]cc2008'!C12</f>
        <v>600</v>
      </c>
      <c r="I15" s="681"/>
      <c r="J15" s="681"/>
      <c r="K15" s="655"/>
    </row>
    <row r="16" spans="1:11" ht="16.5" hidden="1">
      <c r="A16" s="666"/>
      <c r="B16" s="667"/>
      <c r="C16" s="679"/>
      <c r="D16" s="679">
        <f aca="true" t="shared" si="0" ref="D16:I16">D17-D18</f>
        <v>0.047241224001481896</v>
      </c>
      <c r="E16" s="679">
        <f t="shared" si="0"/>
        <v>-0.012152460571542179</v>
      </c>
      <c r="F16" s="679">
        <f t="shared" si="0"/>
        <v>-0.04019631739993201</v>
      </c>
      <c r="G16" s="679">
        <f t="shared" si="0"/>
        <v>-0.04150819515825788</v>
      </c>
      <c r="H16" s="679">
        <f t="shared" si="0"/>
        <v>-0.0624122493327377</v>
      </c>
      <c r="I16" s="679">
        <f t="shared" si="0"/>
        <v>-0.10902799846007838</v>
      </c>
      <c r="J16" s="681"/>
      <c r="K16" s="655"/>
    </row>
    <row r="17" spans="1:11" ht="16.5" hidden="1">
      <c r="A17" s="666"/>
      <c r="B17" s="667"/>
      <c r="C17" s="679"/>
      <c r="D17" s="679">
        <v>3847.63</v>
      </c>
      <c r="E17" s="679">
        <v>3733.2</v>
      </c>
      <c r="F17" s="681">
        <v>3518.984</v>
      </c>
      <c r="G17" s="681">
        <v>3687.173639601</v>
      </c>
      <c r="H17" s="681">
        <v>3516</v>
      </c>
      <c r="I17" s="681">
        <v>18302.987639601</v>
      </c>
      <c r="J17" s="681"/>
      <c r="K17" s="655"/>
    </row>
    <row r="18" spans="1:20" s="654" customFormat="1" ht="32.25" customHeight="1">
      <c r="A18" s="656"/>
      <c r="B18" s="657" t="s">
        <v>215</v>
      </c>
      <c r="C18" s="658">
        <f aca="true" t="shared" si="1" ref="C18:I18">C19+C31+C51+C53</f>
        <v>21531.000216013337</v>
      </c>
      <c r="D18" s="658">
        <f t="shared" si="1"/>
        <v>3847.5827587759986</v>
      </c>
      <c r="E18" s="658">
        <f t="shared" si="1"/>
        <v>3733.2121524605714</v>
      </c>
      <c r="F18" s="658">
        <f t="shared" si="1"/>
        <v>3519.0241963174</v>
      </c>
      <c r="G18" s="658">
        <f t="shared" si="1"/>
        <v>3687.2151477961584</v>
      </c>
      <c r="H18" s="658">
        <f t="shared" si="1"/>
        <v>3516.0624122493327</v>
      </c>
      <c r="I18" s="1015">
        <f t="shared" si="1"/>
        <v>18303.09666759946</v>
      </c>
      <c r="J18" s="630" t="s">
        <v>42</v>
      </c>
      <c r="K18" s="651"/>
      <c r="R18" s="1331"/>
      <c r="S18" s="1332"/>
      <c r="T18" s="1332"/>
    </row>
    <row r="19" spans="1:20" s="652" customFormat="1" ht="36" customHeight="1">
      <c r="A19" s="656" t="s">
        <v>101</v>
      </c>
      <c r="B19" s="657" t="s">
        <v>265</v>
      </c>
      <c r="C19" s="658">
        <f aca="true" t="shared" si="2" ref="C19:I19">C21+C23+C25+C27+C29</f>
        <v>13569.257987333442</v>
      </c>
      <c r="D19" s="658">
        <f t="shared" si="2"/>
        <v>2276.2897352876867</v>
      </c>
      <c r="E19" s="658">
        <f t="shared" si="2"/>
        <v>2015.5130623651935</v>
      </c>
      <c r="F19" s="658">
        <f t="shared" si="2"/>
        <v>1712.2560683880204</v>
      </c>
      <c r="G19" s="658">
        <f t="shared" si="2"/>
        <v>2108.403873344521</v>
      </c>
      <c r="H19" s="658">
        <f t="shared" si="2"/>
        <v>1735.5200269650588</v>
      </c>
      <c r="I19" s="658">
        <f t="shared" si="2"/>
        <v>9847.982766350478</v>
      </c>
      <c r="J19" s="630" t="s">
        <v>42</v>
      </c>
      <c r="K19" s="651">
        <v>3660512.242778</v>
      </c>
      <c r="L19" s="659">
        <f>K19-H18</f>
        <v>3656996.1803657506</v>
      </c>
      <c r="M19" s="633"/>
      <c r="N19" s="633"/>
      <c r="O19" s="633"/>
      <c r="P19" s="633"/>
      <c r="Q19" s="633"/>
      <c r="R19" s="1332"/>
      <c r="S19" s="1332"/>
      <c r="T19" s="1332"/>
    </row>
    <row r="20" spans="1:18" s="664" customFormat="1" ht="24.75" customHeight="1">
      <c r="A20" s="660"/>
      <c r="B20" s="661" t="s">
        <v>217</v>
      </c>
      <c r="C20" s="662"/>
      <c r="D20" s="662">
        <f aca="true" t="shared" si="3" ref="D20:I20">D19/D18*100</f>
        <v>59.161553577909906</v>
      </c>
      <c r="E20" s="662">
        <f t="shared" si="3"/>
        <v>53.988709455924244</v>
      </c>
      <c r="F20" s="662">
        <f t="shared" si="3"/>
        <v>48.65712688704635</v>
      </c>
      <c r="G20" s="662">
        <f t="shared" si="3"/>
        <v>57.18147134985357</v>
      </c>
      <c r="H20" s="662">
        <f t="shared" si="3"/>
        <v>49.35976167313804</v>
      </c>
      <c r="I20" s="662">
        <f t="shared" si="3"/>
        <v>53.80500876544892</v>
      </c>
      <c r="J20" s="663"/>
      <c r="K20" s="651"/>
      <c r="M20" s="665"/>
      <c r="N20" s="665"/>
      <c r="O20" s="665"/>
      <c r="P20" s="665"/>
      <c r="Q20" s="665"/>
      <c r="R20" s="665"/>
    </row>
    <row r="21" spans="1:27" ht="31.5" customHeight="1">
      <c r="A21" s="666">
        <v>1</v>
      </c>
      <c r="B21" s="667" t="s">
        <v>264</v>
      </c>
      <c r="C21" s="668">
        <f>289.540104407316+876.08</f>
        <v>1165.620104407316</v>
      </c>
      <c r="D21" s="668">
        <v>90.80073829429953</v>
      </c>
      <c r="E21" s="668">
        <v>59.61541816391272</v>
      </c>
      <c r="F21" s="668">
        <v>34.44046376220958</v>
      </c>
      <c r="G21" s="668">
        <v>18.443264297915526</v>
      </c>
      <c r="H21" s="668">
        <v>40.13297494603495</v>
      </c>
      <c r="I21" s="670">
        <f>SUM(D21:H21)</f>
        <v>243.4328594643723</v>
      </c>
      <c r="J21" s="669"/>
      <c r="K21" s="651"/>
      <c r="M21" s="658"/>
      <c r="N21" s="658"/>
      <c r="O21" s="658"/>
      <c r="P21" s="658"/>
      <c r="Q21" s="658"/>
      <c r="AA21" s="647"/>
    </row>
    <row r="22" spans="1:11" s="664" customFormat="1" ht="33" customHeight="1">
      <c r="A22" s="660"/>
      <c r="B22" s="661" t="s">
        <v>217</v>
      </c>
      <c r="C22" s="662"/>
      <c r="D22" s="662">
        <f aca="true" t="shared" si="4" ref="D22:I22">D21/D18*100</f>
        <v>2.359942436252762</v>
      </c>
      <c r="E22" s="662">
        <f t="shared" si="4"/>
        <v>1.5968933917838026</v>
      </c>
      <c r="F22" s="662">
        <f t="shared" si="4"/>
        <v>0.9786935764252759</v>
      </c>
      <c r="G22" s="662">
        <f t="shared" si="4"/>
        <v>0.5001949590313175</v>
      </c>
      <c r="H22" s="662">
        <f>H21/H18*100</f>
        <v>1.1414181615837886</v>
      </c>
      <c r="I22" s="662">
        <f t="shared" si="4"/>
        <v>1.3300091448202993</v>
      </c>
      <c r="J22" s="671"/>
      <c r="K22" s="651"/>
    </row>
    <row r="23" spans="1:18" ht="32.25" customHeight="1">
      <c r="A23" s="666">
        <v>2</v>
      </c>
      <c r="B23" s="667" t="s">
        <v>263</v>
      </c>
      <c r="C23" s="668">
        <v>4443.336121317281</v>
      </c>
      <c r="D23" s="668">
        <f>742.144040789777+71.2</f>
        <v>813.3440407897771</v>
      </c>
      <c r="E23" s="668">
        <v>754.6672926205707</v>
      </c>
      <c r="F23" s="668">
        <v>609.613948158011</v>
      </c>
      <c r="G23" s="668">
        <f>714.856579591195+40.3</f>
        <v>755.1565795911949</v>
      </c>
      <c r="H23" s="668">
        <f>702.295790523604-100</f>
        <v>602.295790523604</v>
      </c>
      <c r="I23" s="670">
        <f>SUM(D23:H23)</f>
        <v>3535.077651683158</v>
      </c>
      <c r="J23" s="669"/>
      <c r="K23" s="651"/>
      <c r="R23" s="737"/>
    </row>
    <row r="24" spans="1:11" s="664" customFormat="1" ht="28.5" customHeight="1">
      <c r="A24" s="660"/>
      <c r="B24" s="661" t="s">
        <v>217</v>
      </c>
      <c r="C24" s="662"/>
      <c r="D24" s="662">
        <f aca="true" t="shared" si="5" ref="D24:I24">D23/D18*100</f>
        <v>21.139091522712818</v>
      </c>
      <c r="E24" s="662">
        <f t="shared" si="5"/>
        <v>20.214958641532526</v>
      </c>
      <c r="F24" s="662">
        <f t="shared" si="5"/>
        <v>17.323380407442546</v>
      </c>
      <c r="G24" s="662">
        <f t="shared" si="5"/>
        <v>20.480404568812606</v>
      </c>
      <c r="H24" s="662">
        <f t="shared" si="5"/>
        <v>17.129837867078614</v>
      </c>
      <c r="I24" s="662">
        <f t="shared" si="5"/>
        <v>19.31409594716849</v>
      </c>
      <c r="J24" s="669"/>
      <c r="K24" s="651"/>
    </row>
    <row r="25" spans="1:11" ht="29.25" customHeight="1">
      <c r="A25" s="666">
        <v>3</v>
      </c>
      <c r="B25" s="667" t="s">
        <v>262</v>
      </c>
      <c r="C25" s="668">
        <v>7895.301761608845</v>
      </c>
      <c r="D25" s="668">
        <v>1352.78995620361</v>
      </c>
      <c r="E25" s="668">
        <f>1078.76535158071+95</f>
        <v>1173.76535158071</v>
      </c>
      <c r="F25" s="668">
        <v>1055.7076564678</v>
      </c>
      <c r="G25" s="668">
        <v>1331.25402945541</v>
      </c>
      <c r="H25" s="668">
        <f>1250.99126149542-163.4</f>
        <v>1087.59126149542</v>
      </c>
      <c r="I25" s="670">
        <f>SUM(D25:H25)</f>
        <v>6001.108255202949</v>
      </c>
      <c r="J25" s="669"/>
      <c r="K25" s="651"/>
    </row>
    <row r="26" spans="1:11" s="664" customFormat="1" ht="24.75" customHeight="1">
      <c r="A26" s="660"/>
      <c r="B26" s="672" t="s">
        <v>217</v>
      </c>
      <c r="C26" s="662"/>
      <c r="D26" s="662">
        <f aca="true" t="shared" si="6" ref="D26:I26">D25/D18*100</f>
        <v>35.15947650815346</v>
      </c>
      <c r="E26" s="662">
        <f t="shared" si="6"/>
        <v>31.441163899755274</v>
      </c>
      <c r="F26" s="662">
        <f t="shared" si="6"/>
        <v>30.00001129780751</v>
      </c>
      <c r="G26" s="662">
        <f t="shared" si="6"/>
        <v>36.1045931982325</v>
      </c>
      <c r="H26" s="662">
        <f t="shared" si="6"/>
        <v>30.932080662346788</v>
      </c>
      <c r="I26" s="662">
        <f t="shared" si="6"/>
        <v>32.78739310723437</v>
      </c>
      <c r="J26" s="669"/>
      <c r="K26" s="651"/>
    </row>
    <row r="27" spans="1:19" ht="27.75" customHeight="1">
      <c r="A27" s="666">
        <v>4</v>
      </c>
      <c r="B27" s="667" t="s">
        <v>228</v>
      </c>
      <c r="C27" s="668">
        <v>65</v>
      </c>
      <c r="D27" s="668">
        <v>19.355</v>
      </c>
      <c r="E27" s="668">
        <v>27.465</v>
      </c>
      <c r="F27" s="668">
        <v>12.494</v>
      </c>
      <c r="G27" s="668">
        <v>3.55</v>
      </c>
      <c r="H27" s="1016">
        <v>5.5</v>
      </c>
      <c r="I27" s="670">
        <f>SUM(D27:H27)</f>
        <v>68.364</v>
      </c>
      <c r="J27" s="671"/>
      <c r="K27" s="651"/>
      <c r="R27" s="638">
        <v>3.6</v>
      </c>
      <c r="S27" s="966">
        <f>H27-R27</f>
        <v>1.9</v>
      </c>
    </row>
    <row r="28" spans="1:11" s="664" customFormat="1" ht="24.75" customHeight="1">
      <c r="A28" s="660"/>
      <c r="B28" s="672" t="s">
        <v>217</v>
      </c>
      <c r="C28" s="662"/>
      <c r="D28" s="662">
        <f>D27/D18*1000</f>
        <v>5.0304311079087105</v>
      </c>
      <c r="E28" s="662">
        <f>E27/E18*1000</f>
        <v>7.356935228526387</v>
      </c>
      <c r="F28" s="662">
        <f>F27/F18*1000</f>
        <v>3.5504160537102196</v>
      </c>
      <c r="G28" s="662">
        <f>G27/G18*1000</f>
        <v>0.9627862377712969</v>
      </c>
      <c r="H28" s="662">
        <f>H27/H18*1000</f>
        <v>1.5642498212884344</v>
      </c>
      <c r="I28" s="662">
        <f>I27/I18*100</f>
        <v>0.3735105662257657</v>
      </c>
      <c r="J28" s="669"/>
      <c r="K28" s="651"/>
    </row>
    <row r="29" spans="1:11" ht="27" customHeight="1">
      <c r="A29" s="666">
        <v>5</v>
      </c>
      <c r="B29" s="667" t="s">
        <v>261</v>
      </c>
      <c r="C29" s="668"/>
      <c r="D29" s="668">
        <v>0</v>
      </c>
      <c r="E29" s="668">
        <v>0</v>
      </c>
      <c r="F29" s="668">
        <v>0</v>
      </c>
      <c r="G29" s="668">
        <v>0</v>
      </c>
      <c r="H29" s="668">
        <v>0</v>
      </c>
      <c r="I29" s="670">
        <f>SUM(D29:H29)</f>
        <v>0</v>
      </c>
      <c r="J29" s="669"/>
      <c r="K29" s="651"/>
    </row>
    <row r="30" spans="1:11" s="664" customFormat="1" ht="30" customHeight="1">
      <c r="A30" s="660"/>
      <c r="B30" s="672" t="s">
        <v>217</v>
      </c>
      <c r="C30" s="662"/>
      <c r="D30" s="662"/>
      <c r="E30" s="662"/>
      <c r="F30" s="662"/>
      <c r="G30" s="662"/>
      <c r="H30" s="662"/>
      <c r="I30" s="662"/>
      <c r="J30" s="674"/>
      <c r="K30" s="651"/>
    </row>
    <row r="31" spans="1:19" s="652" customFormat="1" ht="30.75" customHeight="1">
      <c r="A31" s="656" t="s">
        <v>102</v>
      </c>
      <c r="B31" s="657" t="s">
        <v>260</v>
      </c>
      <c r="C31" s="658">
        <f aca="true" t="shared" si="7" ref="C31:I31">C33+C35+C37+C39+C41+C43+C45+C47+C49</f>
        <v>5681.742228679895</v>
      </c>
      <c r="D31" s="658">
        <f t="shared" si="7"/>
        <v>1361.550428962872</v>
      </c>
      <c r="E31" s="658">
        <f t="shared" si="7"/>
        <v>1277.486059254062</v>
      </c>
      <c r="F31" s="658">
        <f t="shared" si="7"/>
        <v>1106.2810599160475</v>
      </c>
      <c r="G31" s="658">
        <f t="shared" si="7"/>
        <v>1258.9281830679988</v>
      </c>
      <c r="H31" s="658">
        <f t="shared" si="7"/>
        <v>1622.900770999702</v>
      </c>
      <c r="I31" s="658">
        <f t="shared" si="7"/>
        <v>6627.146502200683</v>
      </c>
      <c r="J31" s="630" t="s">
        <v>36</v>
      </c>
      <c r="K31" s="651"/>
      <c r="R31" s="652">
        <v>6795.3</v>
      </c>
      <c r="S31" s="652">
        <v>826.1</v>
      </c>
    </row>
    <row r="32" spans="1:11" s="664" customFormat="1" ht="30" customHeight="1">
      <c r="A32" s="660"/>
      <c r="B32" s="672" t="s">
        <v>217</v>
      </c>
      <c r="C32" s="662"/>
      <c r="D32" s="662">
        <f aca="true" t="shared" si="8" ref="D32:I32">D31/D18*100</f>
        <v>35.3871642099782</v>
      </c>
      <c r="E32" s="662">
        <f t="shared" si="8"/>
        <v>34.219487323056825</v>
      </c>
      <c r="F32" s="662">
        <f t="shared" si="8"/>
        <v>31.437154114306807</v>
      </c>
      <c r="G32" s="662">
        <f t="shared" si="8"/>
        <v>34.14306278874065</v>
      </c>
      <c r="H32" s="662">
        <f t="shared" si="8"/>
        <v>46.156768018275386</v>
      </c>
      <c r="I32" s="662">
        <f t="shared" si="8"/>
        <v>36.207788346177516</v>
      </c>
      <c r="J32" s="674"/>
      <c r="K32" s="651"/>
    </row>
    <row r="33" spans="1:11" ht="34.5" customHeight="1">
      <c r="A33" s="666">
        <v>6</v>
      </c>
      <c r="B33" s="667" t="s">
        <v>258</v>
      </c>
      <c r="C33" s="668">
        <v>403.35954826999404</v>
      </c>
      <c r="D33" s="668">
        <v>174.78861223722996</v>
      </c>
      <c r="E33" s="668">
        <f>166.22723748235-8.2</f>
        <v>158.02723748235002</v>
      </c>
      <c r="F33" s="668">
        <f>106.986151830127-7</f>
        <v>99.986151830127</v>
      </c>
      <c r="G33" s="668">
        <v>131.013582501504</v>
      </c>
      <c r="H33" s="668">
        <f>220.363558776068-9.3</f>
        <v>211.063558776068</v>
      </c>
      <c r="I33" s="670">
        <f>SUM(D33:H33)</f>
        <v>774.8791428272791</v>
      </c>
      <c r="J33" s="669"/>
      <c r="K33" s="651"/>
    </row>
    <row r="34" spans="1:11" s="664" customFormat="1" ht="30" customHeight="1">
      <c r="A34" s="660"/>
      <c r="B34" s="672" t="s">
        <v>217</v>
      </c>
      <c r="C34" s="662"/>
      <c r="D34" s="662">
        <f aca="true" t="shared" si="9" ref="D34:I34">D33/D18*100</f>
        <v>4.54281618344797</v>
      </c>
      <c r="E34" s="662">
        <f t="shared" si="9"/>
        <v>4.233009832516317</v>
      </c>
      <c r="F34" s="662">
        <f t="shared" si="9"/>
        <v>2.8413033344516596</v>
      </c>
      <c r="G34" s="662">
        <f t="shared" si="9"/>
        <v>3.5531851885510557</v>
      </c>
      <c r="H34" s="662">
        <f t="shared" si="9"/>
        <v>6.002838801744824</v>
      </c>
      <c r="I34" s="662">
        <f t="shared" si="9"/>
        <v>4.233595860305907</v>
      </c>
      <c r="J34" s="669"/>
      <c r="K34" s="651"/>
    </row>
    <row r="35" spans="1:11" ht="29.25" customHeight="1">
      <c r="A35" s="666">
        <v>7</v>
      </c>
      <c r="B35" s="667" t="s">
        <v>687</v>
      </c>
      <c r="C35" s="668">
        <v>12.898426655249374</v>
      </c>
      <c r="D35" s="668">
        <v>1.3770150416691866</v>
      </c>
      <c r="E35" s="668">
        <v>0.06450003907370823</v>
      </c>
      <c r="F35" s="668">
        <v>3.500147526970813</v>
      </c>
      <c r="G35" s="668">
        <v>10.001147233537896</v>
      </c>
      <c r="H35" s="668">
        <v>9</v>
      </c>
      <c r="I35" s="670">
        <f>SUM(D35:H35)</f>
        <v>23.942809841251602</v>
      </c>
      <c r="J35" s="669"/>
      <c r="K35" s="651"/>
    </row>
    <row r="36" spans="1:11" s="664" customFormat="1" ht="31.5" customHeight="1">
      <c r="A36" s="660"/>
      <c r="B36" s="672" t="s">
        <v>217</v>
      </c>
      <c r="C36" s="662"/>
      <c r="D36" s="676">
        <f aca="true" t="shared" si="10" ref="D36:I36">D35/D18*100</f>
        <v>0.03578909481617611</v>
      </c>
      <c r="E36" s="662">
        <f t="shared" si="10"/>
        <v>0.0017277356988992993</v>
      </c>
      <c r="F36" s="662">
        <f t="shared" si="10"/>
        <v>0.09946358228038496</v>
      </c>
      <c r="G36" s="662">
        <f t="shared" si="10"/>
        <v>0.27123850474295114</v>
      </c>
      <c r="H36" s="662">
        <f t="shared" si="10"/>
        <v>0.2559681525744711</v>
      </c>
      <c r="I36" s="662">
        <f t="shared" si="10"/>
        <v>0.1308128907150214</v>
      </c>
      <c r="J36" s="669"/>
      <c r="K36" s="651"/>
    </row>
    <row r="37" spans="1:11" ht="29.25" customHeight="1">
      <c r="A37" s="666">
        <v>8</v>
      </c>
      <c r="B37" s="675" t="s">
        <v>253</v>
      </c>
      <c r="C37" s="668"/>
      <c r="D37" s="668">
        <v>0.27</v>
      </c>
      <c r="E37" s="668">
        <f>16.52/2</f>
        <v>8.26</v>
      </c>
      <c r="F37" s="668">
        <v>8.3</v>
      </c>
      <c r="G37" s="668">
        <v>0</v>
      </c>
      <c r="H37" s="668">
        <f>4.66+4.66</f>
        <v>9.32</v>
      </c>
      <c r="I37" s="670">
        <f>SUM(D37:H37)</f>
        <v>26.15</v>
      </c>
      <c r="J37" s="669"/>
      <c r="K37" s="651"/>
    </row>
    <row r="38" spans="1:11" s="664" customFormat="1" ht="27.75" customHeight="1">
      <c r="A38" s="660"/>
      <c r="B38" s="672" t="s">
        <v>217</v>
      </c>
      <c r="C38" s="676"/>
      <c r="D38" s="676">
        <f>D37/D18*100</f>
        <v>0.007017392917258342</v>
      </c>
      <c r="E38" s="676">
        <f>E37/E18*100</f>
        <v>0.22125718182278523</v>
      </c>
      <c r="F38" s="676">
        <f>F37/F18*100</f>
        <v>0.23586083916915979</v>
      </c>
      <c r="G38" s="676">
        <f>G37/G18*100</f>
        <v>0</v>
      </c>
      <c r="H38" s="676">
        <f>H37/H18*100</f>
        <v>0.2650692424437856</v>
      </c>
      <c r="I38" s="670">
        <f>SUM(D38:H38)</f>
        <v>0.7292046563529889</v>
      </c>
      <c r="J38" s="669"/>
      <c r="K38" s="651"/>
    </row>
    <row r="39" spans="1:18" ht="27.75" customHeight="1">
      <c r="A39" s="666">
        <v>9</v>
      </c>
      <c r="B39" s="667" t="s">
        <v>234</v>
      </c>
      <c r="C39" s="668">
        <v>2267</v>
      </c>
      <c r="D39" s="668">
        <v>362.03182461194916</v>
      </c>
      <c r="E39" s="668">
        <v>374.860592809964</v>
      </c>
      <c r="F39" s="668">
        <v>286.89709676722674</v>
      </c>
      <c r="G39" s="668">
        <f>229.243822956665</f>
        <v>229.243822956665</v>
      </c>
      <c r="H39" s="668">
        <f>361.17350191183-99</f>
        <v>262.17350191183</v>
      </c>
      <c r="I39" s="670">
        <f>SUM(D39:H39)</f>
        <v>1515.206839057635</v>
      </c>
      <c r="J39" s="669"/>
      <c r="K39" s="738"/>
      <c r="R39" s="737"/>
    </row>
    <row r="40" spans="1:11" s="664" customFormat="1" ht="24.75" customHeight="1">
      <c r="A40" s="660"/>
      <c r="B40" s="672" t="s">
        <v>217</v>
      </c>
      <c r="C40" s="662"/>
      <c r="D40" s="662">
        <f aca="true" t="shared" si="11" ref="D40:I40">D39/D18*100</f>
        <v>9.409331710570394</v>
      </c>
      <c r="E40" s="662">
        <f t="shared" si="11"/>
        <v>10.041234666047368</v>
      </c>
      <c r="F40" s="662">
        <f t="shared" si="11"/>
        <v>8.15274578297756</v>
      </c>
      <c r="G40" s="662">
        <f t="shared" si="11"/>
        <v>6.217261910894558</v>
      </c>
      <c r="H40" s="662">
        <f t="shared" si="11"/>
        <v>7.456451882038964</v>
      </c>
      <c r="I40" s="662">
        <f t="shared" si="11"/>
        <v>8.278417945198788</v>
      </c>
      <c r="J40" s="669"/>
      <c r="K40" s="651"/>
    </row>
    <row r="41" spans="1:11" ht="28.5" customHeight="1">
      <c r="A41" s="666">
        <v>10</v>
      </c>
      <c r="B41" s="667" t="s">
        <v>251</v>
      </c>
      <c r="C41" s="668">
        <v>490</v>
      </c>
      <c r="D41" s="668">
        <v>203.21307881489412</v>
      </c>
      <c r="E41" s="668">
        <v>155.4708180912133</v>
      </c>
      <c r="F41" s="668">
        <v>152.81900882488384</v>
      </c>
      <c r="G41" s="668">
        <f>91.7907270715479</f>
        <v>91.7907270715479</v>
      </c>
      <c r="H41" s="668">
        <v>240.60421220809076</v>
      </c>
      <c r="I41" s="670">
        <f>SUM(D41:H41)</f>
        <v>843.8978450106299</v>
      </c>
      <c r="J41" s="673">
        <v>0</v>
      </c>
      <c r="K41" s="651"/>
    </row>
    <row r="42" spans="1:11" s="664" customFormat="1" ht="24.75" customHeight="1">
      <c r="A42" s="660"/>
      <c r="B42" s="672" t="s">
        <v>217</v>
      </c>
      <c r="C42" s="662"/>
      <c r="D42" s="662">
        <f aca="true" t="shared" si="12" ref="D42:I42">D41/D18*100</f>
        <v>5.281577851740367</v>
      </c>
      <c r="E42" s="662">
        <f t="shared" si="12"/>
        <v>4.164532090380719</v>
      </c>
      <c r="F42" s="662">
        <f t="shared" si="12"/>
        <v>4.342652971377872</v>
      </c>
      <c r="G42" s="662">
        <f>G41/G18*100.02</f>
        <v>2.489930246458125</v>
      </c>
      <c r="H42" s="662">
        <f t="shared" si="12"/>
        <v>6.843001744504554</v>
      </c>
      <c r="I42" s="662">
        <f t="shared" si="12"/>
        <v>4.610683428802057</v>
      </c>
      <c r="J42" s="669"/>
      <c r="K42" s="651"/>
    </row>
    <row r="43" spans="1:18" ht="30.75" customHeight="1">
      <c r="A43" s="666">
        <v>11</v>
      </c>
      <c r="B43" s="667" t="s">
        <v>250</v>
      </c>
      <c r="C43" s="668">
        <v>938.0250129104799</v>
      </c>
      <c r="D43" s="668">
        <v>398.207003</v>
      </c>
      <c r="E43" s="668">
        <v>305.838</v>
      </c>
      <c r="F43" s="668">
        <v>206.47779421135397</v>
      </c>
      <c r="G43" s="668">
        <v>332.105</v>
      </c>
      <c r="H43" s="668">
        <f>412.608-50</f>
        <v>362.608</v>
      </c>
      <c r="I43" s="670">
        <f>SUM(D43:H43)</f>
        <v>1605.2357972113539</v>
      </c>
      <c r="J43" s="669"/>
      <c r="K43" s="651"/>
      <c r="R43" s="737"/>
    </row>
    <row r="44" spans="1:11" s="664" customFormat="1" ht="28.5" customHeight="1">
      <c r="A44" s="660"/>
      <c r="B44" s="672" t="s">
        <v>217</v>
      </c>
      <c r="C44" s="662"/>
      <c r="D44" s="662">
        <f aca="true" t="shared" si="13" ref="D44:I44">D43/D18*100</f>
        <v>10.34953704612915</v>
      </c>
      <c r="E44" s="662">
        <f t="shared" si="13"/>
        <v>8.192355202701815</v>
      </c>
      <c r="F44" s="662">
        <f t="shared" si="13"/>
        <v>5.867472989456268</v>
      </c>
      <c r="G44" s="662">
        <f t="shared" si="13"/>
        <v>9.006933056198214</v>
      </c>
      <c r="H44" s="662">
        <f t="shared" si="13"/>
        <v>10.312899985413756</v>
      </c>
      <c r="I44" s="662">
        <f t="shared" si="13"/>
        <v>8.77029623109065</v>
      </c>
      <c r="J44" s="669"/>
      <c r="K44" s="651"/>
    </row>
    <row r="45" spans="1:11" ht="28.5" customHeight="1">
      <c r="A45" s="666">
        <v>12</v>
      </c>
      <c r="B45" s="667" t="s">
        <v>249</v>
      </c>
      <c r="C45" s="668">
        <v>473.6957433143389</v>
      </c>
      <c r="D45" s="668">
        <v>64.23767086500541</v>
      </c>
      <c r="E45" s="668">
        <v>81.1471616313664</v>
      </c>
      <c r="F45" s="668">
        <v>122.78698939407244</v>
      </c>
      <c r="G45" s="668">
        <v>182.53291972665707</v>
      </c>
      <c r="H45" s="668">
        <v>342.7907413502777</v>
      </c>
      <c r="I45" s="670">
        <f>SUM(D45:H45)</f>
        <v>793.495482967379</v>
      </c>
      <c r="J45" s="669"/>
      <c r="K45" s="651"/>
    </row>
    <row r="46" spans="1:11" s="664" customFormat="1" ht="28.5" customHeight="1">
      <c r="A46" s="660"/>
      <c r="B46" s="672" t="s">
        <v>217</v>
      </c>
      <c r="C46" s="662"/>
      <c r="D46" s="662">
        <f aca="true" t="shared" si="14" ref="D46:I46">D45/D18*100</f>
        <v>1.669559172404672</v>
      </c>
      <c r="E46" s="662">
        <f t="shared" si="14"/>
        <v>2.1736552415828303</v>
      </c>
      <c r="F46" s="662">
        <f t="shared" si="14"/>
        <v>3.489234018980801</v>
      </c>
      <c r="G46" s="662">
        <f t="shared" si="14"/>
        <v>4.950427691634882</v>
      </c>
      <c r="H46" s="662">
        <f t="shared" si="14"/>
        <v>9.749279198118215</v>
      </c>
      <c r="I46" s="662">
        <f t="shared" si="14"/>
        <v>4.33530728366879</v>
      </c>
      <c r="J46" s="674"/>
      <c r="K46" s="651"/>
    </row>
    <row r="47" spans="1:19" ht="24.75" customHeight="1">
      <c r="A47" s="666">
        <v>13</v>
      </c>
      <c r="B47" s="667" t="s">
        <v>246</v>
      </c>
      <c r="C47" s="668">
        <v>538</v>
      </c>
      <c r="D47" s="668">
        <v>44.01989697069199</v>
      </c>
      <c r="E47" s="668">
        <v>2.6765006378077816</v>
      </c>
      <c r="F47" s="668">
        <v>19.665833028274</v>
      </c>
      <c r="G47" s="668">
        <v>35.79122041599886</v>
      </c>
      <c r="H47" s="1016">
        <f>G47/100*110</f>
        <v>39.370342457598746</v>
      </c>
      <c r="I47" s="670">
        <f>SUM(D47:H47)</f>
        <v>141.52379351037138</v>
      </c>
      <c r="J47" s="669"/>
      <c r="K47" s="651"/>
      <c r="R47" s="638">
        <v>79.4</v>
      </c>
      <c r="S47" s="966">
        <f>R47-H47</f>
        <v>40.02965754240126</v>
      </c>
    </row>
    <row r="48" spans="1:19" s="664" customFormat="1" ht="33.75" customHeight="1">
      <c r="A48" s="660"/>
      <c r="B48" s="672" t="s">
        <v>217</v>
      </c>
      <c r="C48" s="662"/>
      <c r="D48" s="662">
        <f aca="true" t="shared" si="15" ref="D48:I48">D47/D18*100</f>
        <v>1.144092271187318</v>
      </c>
      <c r="E48" s="662">
        <f t="shared" si="15"/>
        <v>0.07169430850705047</v>
      </c>
      <c r="F48" s="662">
        <f t="shared" si="15"/>
        <v>0.5588433591577452</v>
      </c>
      <c r="G48" s="662">
        <f t="shared" si="15"/>
        <v>0.9706843506919092</v>
      </c>
      <c r="H48" s="662">
        <f t="shared" si="15"/>
        <v>1.1197282027884237</v>
      </c>
      <c r="I48" s="662">
        <f t="shared" si="15"/>
        <v>0.7732232205324024</v>
      </c>
      <c r="J48" s="674"/>
      <c r="K48" s="651"/>
      <c r="S48" s="967">
        <f>S47-1.9</f>
        <v>38.12965754240126</v>
      </c>
    </row>
    <row r="49" spans="1:11" ht="30.75" customHeight="1">
      <c r="A49" s="666">
        <v>14</v>
      </c>
      <c r="B49" s="667" t="s">
        <v>244</v>
      </c>
      <c r="C49" s="668">
        <v>558.7634975298324</v>
      </c>
      <c r="D49" s="668">
        <v>113.4053274214323</v>
      </c>
      <c r="E49" s="668">
        <v>191.14124856228707</v>
      </c>
      <c r="F49" s="668">
        <v>205.84803833313885</v>
      </c>
      <c r="G49" s="668">
        <v>246.449763162088</v>
      </c>
      <c r="H49" s="668">
        <v>145.970414295837</v>
      </c>
      <c r="I49" s="670">
        <f>SUM(D49:H49)</f>
        <v>902.8147917747832</v>
      </c>
      <c r="J49" s="669"/>
      <c r="K49" s="651"/>
    </row>
    <row r="50" spans="1:11" s="664" customFormat="1" ht="34.5" customHeight="1">
      <c r="A50" s="660"/>
      <c r="B50" s="672" t="s">
        <v>217</v>
      </c>
      <c r="C50" s="662"/>
      <c r="D50" s="662">
        <f aca="true" t="shared" si="16" ref="D50:I50">D49/D18*100</f>
        <v>2.9474434867648966</v>
      </c>
      <c r="E50" s="662">
        <f t="shared" si="16"/>
        <v>5.120021063799047</v>
      </c>
      <c r="F50" s="662">
        <f t="shared" si="16"/>
        <v>5.849577236455361</v>
      </c>
      <c r="G50" s="662">
        <f t="shared" si="16"/>
        <v>6.683899726040954</v>
      </c>
      <c r="H50" s="662">
        <f t="shared" si="16"/>
        <v>4.1515308086483955</v>
      </c>
      <c r="I50" s="662">
        <f t="shared" si="16"/>
        <v>4.932579487344158</v>
      </c>
      <c r="J50" s="674"/>
      <c r="K50" s="651"/>
    </row>
    <row r="51" spans="1:19" s="652" customFormat="1" ht="32.25" customHeight="1">
      <c r="A51" s="656" t="s">
        <v>115</v>
      </c>
      <c r="B51" s="657" t="s">
        <v>243</v>
      </c>
      <c r="C51" s="658">
        <f>2280-248</f>
        <v>2032</v>
      </c>
      <c r="D51" s="658">
        <f>60.0067762948767+133.1</f>
        <v>193.10677629487668</v>
      </c>
      <c r="E51" s="658">
        <f>91.8745180282866+284.8</f>
        <v>376.6745180282866</v>
      </c>
      <c r="F51" s="658">
        <f>112.32076562422+560.4</f>
        <v>672.72076562422</v>
      </c>
      <c r="G51" s="658">
        <f>38.6628424035935+246.2</f>
        <v>284.8628424035935</v>
      </c>
      <c r="H51" s="1017">
        <f>54.0076828890233+35+38.1</f>
        <v>127.1076828890233</v>
      </c>
      <c r="I51" s="658">
        <f>SUM(D51:H51)</f>
        <v>1654.4725852400002</v>
      </c>
      <c r="J51" s="630" t="s">
        <v>42</v>
      </c>
      <c r="K51" s="651"/>
      <c r="R51" s="652">
        <v>1652.2</v>
      </c>
      <c r="S51" s="652">
        <f>R51/2</f>
        <v>826.1</v>
      </c>
    </row>
    <row r="52" spans="1:19" s="664" customFormat="1" ht="34.5" customHeight="1">
      <c r="A52" s="660"/>
      <c r="B52" s="672" t="s">
        <v>217</v>
      </c>
      <c r="C52" s="662"/>
      <c r="D52" s="662">
        <f aca="true" t="shared" si="17" ref="D52:I52">D51/D18*100</f>
        <v>5.018911571282439</v>
      </c>
      <c r="E52" s="662">
        <f t="shared" si="17"/>
        <v>10.089823525834698</v>
      </c>
      <c r="F52" s="662">
        <f t="shared" si="17"/>
        <v>19.116684856222673</v>
      </c>
      <c r="G52" s="662">
        <f t="shared" si="17"/>
        <v>7.725690825875878</v>
      </c>
      <c r="H52" s="662">
        <f t="shared" si="17"/>
        <v>3.615057640791667</v>
      </c>
      <c r="I52" s="662">
        <f t="shared" si="17"/>
        <v>9.03930419691649</v>
      </c>
      <c r="J52" s="677"/>
      <c r="K52" s="651"/>
      <c r="S52" s="664">
        <f>S51/100*30</f>
        <v>247.83000000000004</v>
      </c>
    </row>
    <row r="53" spans="1:19" s="652" customFormat="1" ht="30" customHeight="1">
      <c r="A53" s="656" t="s">
        <v>116</v>
      </c>
      <c r="B53" s="657" t="s">
        <v>242</v>
      </c>
      <c r="C53" s="658">
        <v>248</v>
      </c>
      <c r="D53" s="658">
        <v>16.63581823056323</v>
      </c>
      <c r="E53" s="658">
        <v>63.53851281302917</v>
      </c>
      <c r="F53" s="658">
        <v>27.766302389112177</v>
      </c>
      <c r="G53" s="658">
        <f>10.0202489800453+25</f>
        <v>35.0202489800453</v>
      </c>
      <c r="H53" s="658">
        <f>15.5339313955487+15</f>
        <v>30.5339313955487</v>
      </c>
      <c r="I53" s="658">
        <f>SUM(D53:H53)</f>
        <v>173.49481380829857</v>
      </c>
      <c r="J53" s="630" t="s">
        <v>42</v>
      </c>
      <c r="K53" s="651"/>
      <c r="S53" s="652">
        <f>S51-S52</f>
        <v>578.27</v>
      </c>
    </row>
    <row r="54" spans="1:11" s="664" customFormat="1" ht="30" customHeight="1">
      <c r="A54" s="660"/>
      <c r="B54" s="672" t="s">
        <v>217</v>
      </c>
      <c r="C54" s="662"/>
      <c r="D54" s="662">
        <f aca="true" t="shared" si="18" ref="D54:I54">D53/D18*100</f>
        <v>0.4323706408294504</v>
      </c>
      <c r="E54" s="662">
        <f t="shared" si="18"/>
        <v>1.7019796951842328</v>
      </c>
      <c r="F54" s="662">
        <f t="shared" si="18"/>
        <v>0.7890341424241739</v>
      </c>
      <c r="G54" s="662">
        <f t="shared" si="18"/>
        <v>0.9497750355299132</v>
      </c>
      <c r="H54" s="662">
        <f t="shared" si="18"/>
        <v>0.8684126677949158</v>
      </c>
      <c r="I54" s="662">
        <f t="shared" si="18"/>
        <v>0.9478986914570738</v>
      </c>
      <c r="J54" s="677"/>
      <c r="K54" s="651"/>
    </row>
    <row r="55" spans="1:11" s="652" customFormat="1" ht="62.25" customHeight="1" hidden="1">
      <c r="A55" s="656" t="s">
        <v>116</v>
      </c>
      <c r="B55" s="657" t="s">
        <v>241</v>
      </c>
      <c r="C55" s="678"/>
      <c r="D55" s="678"/>
      <c r="E55" s="678"/>
      <c r="F55" s="674"/>
      <c r="G55" s="674"/>
      <c r="H55" s="674"/>
      <c r="I55" s="674"/>
      <c r="J55" s="674"/>
      <c r="K55" s="651"/>
    </row>
    <row r="56" spans="1:11" ht="62.25" customHeight="1" hidden="1">
      <c r="A56" s="666"/>
      <c r="B56" s="667"/>
      <c r="C56" s="679"/>
      <c r="D56" s="679"/>
      <c r="E56" s="679"/>
      <c r="F56" s="680"/>
      <c r="G56" s="681"/>
      <c r="H56" s="681"/>
      <c r="I56" s="681"/>
      <c r="J56" s="674"/>
      <c r="K56" s="651"/>
    </row>
    <row r="57" spans="1:11" s="652" customFormat="1" ht="62.25" customHeight="1" hidden="1">
      <c r="A57" s="656"/>
      <c r="B57" s="657" t="s">
        <v>240</v>
      </c>
      <c r="C57" s="678"/>
      <c r="D57" s="678"/>
      <c r="E57" s="678"/>
      <c r="F57" s="657"/>
      <c r="G57" s="674"/>
      <c r="H57" s="674"/>
      <c r="I57" s="674"/>
      <c r="J57" s="674"/>
      <c r="K57" s="651"/>
    </row>
    <row r="58" spans="1:11" s="652" customFormat="1" ht="62.25" customHeight="1" hidden="1">
      <c r="A58" s="656" t="s">
        <v>239</v>
      </c>
      <c r="B58" s="657" t="s">
        <v>238</v>
      </c>
      <c r="C58" s="678"/>
      <c r="D58" s="678"/>
      <c r="E58" s="678"/>
      <c r="F58" s="657"/>
      <c r="G58" s="674"/>
      <c r="H58" s="674"/>
      <c r="I58" s="674"/>
      <c r="J58" s="674"/>
      <c r="K58" s="651"/>
    </row>
    <row r="59" spans="1:11" ht="20.25" customHeight="1" hidden="1">
      <c r="A59" s="682"/>
      <c r="B59" s="642"/>
      <c r="C59" s="641"/>
      <c r="D59" s="641">
        <f>D4*D54/100</f>
        <v>0</v>
      </c>
      <c r="E59" s="641">
        <f>E4*E54/100</f>
        <v>0</v>
      </c>
      <c r="F59" s="641">
        <f>F4*F54/100</f>
        <v>0</v>
      </c>
      <c r="G59" s="641">
        <f>G4*G54/100</f>
        <v>0</v>
      </c>
      <c r="H59" s="641">
        <f>H4*H54/100</f>
        <v>0</v>
      </c>
      <c r="I59" s="643"/>
      <c r="J59" s="643"/>
      <c r="K59" s="646"/>
    </row>
    <row r="60" spans="1:11" ht="20.25" customHeight="1" hidden="1">
      <c r="A60" s="682"/>
      <c r="B60" s="642"/>
      <c r="C60" s="641"/>
      <c r="D60" s="641">
        <v>3.174818230563229</v>
      </c>
      <c r="E60" s="641">
        <v>12.338512813029165</v>
      </c>
      <c r="F60" s="641">
        <v>5.906302389112177</v>
      </c>
      <c r="G60" s="641">
        <v>2.700248980045298</v>
      </c>
      <c r="H60" s="641">
        <v>3.3839313955487342</v>
      </c>
      <c r="I60" s="643">
        <f>SUM(D60:H60)</f>
        <v>27.503813808298606</v>
      </c>
      <c r="J60" s="643"/>
      <c r="K60" s="646"/>
    </row>
    <row r="61" spans="1:11" ht="16.5">
      <c r="A61" s="683"/>
      <c r="B61" s="1300" t="s">
        <v>404</v>
      </c>
      <c r="C61" s="1300"/>
      <c r="D61" s="1300"/>
      <c r="E61" s="641"/>
      <c r="F61" s="642"/>
      <c r="G61" s="643"/>
      <c r="H61" s="643"/>
      <c r="I61" s="643"/>
      <c r="J61" s="643"/>
      <c r="K61" s="646"/>
    </row>
    <row r="62" spans="1:11" ht="16.5">
      <c r="A62" s="684"/>
      <c r="B62" s="685"/>
      <c r="C62" s="686"/>
      <c r="D62" s="686"/>
      <c r="E62" s="686"/>
      <c r="F62" s="685"/>
      <c r="G62" s="685"/>
      <c r="H62" s="687"/>
      <c r="I62" s="687"/>
      <c r="J62" s="687"/>
      <c r="K62" s="688"/>
    </row>
    <row r="63" spans="1:11" ht="16.5">
      <c r="A63" s="682"/>
      <c r="B63" s="642"/>
      <c r="C63" s="641"/>
      <c r="D63" s="641"/>
      <c r="E63" s="641"/>
      <c r="F63" s="642"/>
      <c r="G63" s="643"/>
      <c r="H63" s="643"/>
      <c r="I63" s="643" t="s">
        <v>518</v>
      </c>
      <c r="J63" s="643"/>
      <c r="K63" s="646"/>
    </row>
    <row r="64" spans="1:11" ht="16.5">
      <c r="A64" s="682"/>
      <c r="B64" s="642"/>
      <c r="C64" s="641"/>
      <c r="D64" s="641"/>
      <c r="E64" s="641"/>
      <c r="F64" s="642"/>
      <c r="G64" s="643"/>
      <c r="H64" s="643"/>
      <c r="I64" s="643"/>
      <c r="J64" s="643"/>
      <c r="K64" s="646"/>
    </row>
    <row r="65" spans="1:11" ht="16.5">
      <c r="A65" s="682"/>
      <c r="B65" s="642"/>
      <c r="C65" s="641"/>
      <c r="D65" s="641"/>
      <c r="E65" s="641"/>
      <c r="F65" s="642"/>
      <c r="G65" s="643"/>
      <c r="H65" s="643"/>
      <c r="I65" s="643"/>
      <c r="J65" s="643"/>
      <c r="K65" s="646"/>
    </row>
    <row r="66" spans="1:11" ht="16.5">
      <c r="A66" s="682"/>
      <c r="B66" s="642"/>
      <c r="C66" s="641"/>
      <c r="D66" s="641"/>
      <c r="E66" s="641"/>
      <c r="F66" s="642"/>
      <c r="G66" s="643"/>
      <c r="H66" s="643"/>
      <c r="I66" s="643"/>
      <c r="J66" s="643"/>
      <c r="K66" s="646"/>
    </row>
    <row r="67" spans="1:11" ht="16.5">
      <c r="A67" s="682"/>
      <c r="B67" s="642"/>
      <c r="C67" s="641"/>
      <c r="D67" s="641"/>
      <c r="E67" s="641"/>
      <c r="F67" s="642"/>
      <c r="G67" s="643"/>
      <c r="H67" s="643"/>
      <c r="I67" s="643"/>
      <c r="J67" s="643"/>
      <c r="K67" s="646"/>
    </row>
    <row r="68" spans="1:11" ht="16.5">
      <c r="A68" s="682"/>
      <c r="B68" s="642"/>
      <c r="C68" s="641"/>
      <c r="D68" s="641"/>
      <c r="E68" s="641"/>
      <c r="F68" s="642"/>
      <c r="G68" s="643"/>
      <c r="H68" s="643"/>
      <c r="I68" s="643"/>
      <c r="J68" s="643"/>
      <c r="K68" s="646"/>
    </row>
    <row r="69" spans="1:11" ht="16.5">
      <c r="A69" s="682"/>
      <c r="B69" s="642"/>
      <c r="C69" s="641"/>
      <c r="D69" s="641"/>
      <c r="E69" s="641"/>
      <c r="F69" s="642"/>
      <c r="G69" s="643"/>
      <c r="H69" s="643"/>
      <c r="I69" s="643"/>
      <c r="J69" s="643"/>
      <c r="K69" s="646"/>
    </row>
    <row r="70" spans="1:11" ht="16.5">
      <c r="A70" s="682"/>
      <c r="B70" s="642"/>
      <c r="C70" s="641"/>
      <c r="D70" s="641"/>
      <c r="E70" s="641"/>
      <c r="F70" s="642"/>
      <c r="G70" s="643"/>
      <c r="H70" s="643"/>
      <c r="I70" s="643"/>
      <c r="J70" s="643"/>
      <c r="K70" s="646"/>
    </row>
    <row r="71" spans="1:11" ht="16.5">
      <c r="A71" s="682"/>
      <c r="B71" s="642"/>
      <c r="C71" s="641"/>
      <c r="D71" s="641"/>
      <c r="E71" s="641"/>
      <c r="F71" s="642"/>
      <c r="G71" s="643"/>
      <c r="H71" s="643"/>
      <c r="I71" s="643"/>
      <c r="J71" s="643"/>
      <c r="K71" s="646"/>
    </row>
    <row r="72" spans="1:11" ht="16.5">
      <c r="A72" s="682"/>
      <c r="B72" s="642"/>
      <c r="C72" s="641"/>
      <c r="D72" s="641"/>
      <c r="E72" s="641"/>
      <c r="F72" s="642"/>
      <c r="G72" s="643"/>
      <c r="H72" s="643"/>
      <c r="I72" s="643"/>
      <c r="J72" s="643"/>
      <c r="K72" s="646"/>
    </row>
    <row r="73" spans="1:11" ht="16.5">
      <c r="A73" s="682"/>
      <c r="B73" s="642"/>
      <c r="C73" s="641"/>
      <c r="D73" s="641"/>
      <c r="E73" s="641"/>
      <c r="F73" s="642"/>
      <c r="G73" s="643"/>
      <c r="H73" s="643"/>
      <c r="I73" s="643"/>
      <c r="J73" s="643"/>
      <c r="K73" s="646"/>
    </row>
    <row r="74" spans="1:11" ht="16.5">
      <c r="A74" s="682"/>
      <c r="B74" s="642"/>
      <c r="C74" s="641"/>
      <c r="D74" s="641"/>
      <c r="E74" s="641"/>
      <c r="F74" s="642"/>
      <c r="G74" s="643"/>
      <c r="H74" s="643"/>
      <c r="I74" s="643"/>
      <c r="J74" s="643"/>
      <c r="K74" s="646"/>
    </row>
    <row r="75" spans="1:11" ht="16.5">
      <c r="A75" s="682"/>
      <c r="B75" s="642"/>
      <c r="C75" s="641"/>
      <c r="D75" s="641"/>
      <c r="E75" s="641"/>
      <c r="F75" s="642"/>
      <c r="G75" s="643"/>
      <c r="H75" s="643"/>
      <c r="I75" s="643"/>
      <c r="J75" s="643"/>
      <c r="K75" s="646"/>
    </row>
    <row r="76" spans="1:11" ht="16.5">
      <c r="A76" s="682"/>
      <c r="B76" s="642"/>
      <c r="C76" s="641"/>
      <c r="D76" s="641"/>
      <c r="E76" s="641"/>
      <c r="F76" s="642"/>
      <c r="G76" s="643"/>
      <c r="H76" s="643"/>
      <c r="I76" s="643"/>
      <c r="J76" s="643"/>
      <c r="K76" s="646"/>
    </row>
    <row r="77" spans="1:11" ht="16.5">
      <c r="A77" s="682"/>
      <c r="B77" s="642"/>
      <c r="C77" s="641"/>
      <c r="D77" s="641"/>
      <c r="E77" s="641"/>
      <c r="F77" s="642"/>
      <c r="G77" s="643"/>
      <c r="H77" s="643"/>
      <c r="I77" s="643"/>
      <c r="J77" s="643"/>
      <c r="K77" s="646"/>
    </row>
    <row r="78" spans="1:11" ht="16.5">
      <c r="A78" s="682"/>
      <c r="B78" s="642"/>
      <c r="C78" s="641"/>
      <c r="D78" s="641"/>
      <c r="E78" s="641"/>
      <c r="F78" s="642"/>
      <c r="G78" s="643"/>
      <c r="H78" s="643"/>
      <c r="I78" s="643"/>
      <c r="J78" s="643"/>
      <c r="K78" s="646"/>
    </row>
    <row r="79" spans="1:11" ht="16.5">
      <c r="A79" s="682"/>
      <c r="B79" s="642"/>
      <c r="C79" s="641"/>
      <c r="D79" s="641"/>
      <c r="E79" s="641"/>
      <c r="F79" s="642"/>
      <c r="G79" s="643"/>
      <c r="H79" s="643"/>
      <c r="I79" s="643"/>
      <c r="J79" s="643"/>
      <c r="K79" s="646"/>
    </row>
    <row r="80" spans="1:11" ht="16.5">
      <c r="A80" s="682"/>
      <c r="B80" s="642"/>
      <c r="C80" s="641"/>
      <c r="D80" s="641"/>
      <c r="E80" s="641"/>
      <c r="F80" s="642"/>
      <c r="G80" s="643"/>
      <c r="H80" s="643"/>
      <c r="I80" s="643"/>
      <c r="J80" s="643"/>
      <c r="K80" s="646"/>
    </row>
    <row r="81" spans="1:11" ht="16.5">
      <c r="A81" s="682"/>
      <c r="B81" s="642"/>
      <c r="C81" s="641"/>
      <c r="D81" s="641"/>
      <c r="E81" s="641"/>
      <c r="F81" s="642"/>
      <c r="G81" s="643"/>
      <c r="H81" s="643"/>
      <c r="I81" s="643"/>
      <c r="J81" s="643"/>
      <c r="K81" s="646"/>
    </row>
    <row r="82" spans="1:11" ht="16.5">
      <c r="A82" s="682"/>
      <c r="B82" s="642"/>
      <c r="C82" s="641"/>
      <c r="D82" s="641"/>
      <c r="E82" s="641"/>
      <c r="F82" s="642"/>
      <c r="G82" s="643"/>
      <c r="H82" s="643"/>
      <c r="I82" s="643"/>
      <c r="J82" s="643"/>
      <c r="K82" s="646"/>
    </row>
    <row r="83" spans="1:11" ht="16.5">
      <c r="A83" s="682"/>
      <c r="B83" s="642"/>
      <c r="C83" s="641"/>
      <c r="D83" s="641"/>
      <c r="E83" s="641"/>
      <c r="F83" s="642"/>
      <c r="G83" s="643"/>
      <c r="H83" s="643"/>
      <c r="I83" s="643"/>
      <c r="J83" s="643"/>
      <c r="K83" s="646"/>
    </row>
    <row r="84" spans="1:11" ht="16.5">
      <c r="A84" s="682"/>
      <c r="B84" s="642"/>
      <c r="C84" s="641"/>
      <c r="D84" s="641"/>
      <c r="E84" s="641"/>
      <c r="F84" s="642"/>
      <c r="G84" s="643"/>
      <c r="H84" s="643"/>
      <c r="I84" s="643"/>
      <c r="J84" s="643"/>
      <c r="K84" s="646"/>
    </row>
    <row r="85" spans="1:11" ht="16.5">
      <c r="A85" s="682"/>
      <c r="B85" s="642"/>
      <c r="C85" s="641"/>
      <c r="D85" s="641"/>
      <c r="E85" s="641"/>
      <c r="F85" s="642"/>
      <c r="G85" s="643"/>
      <c r="H85" s="643"/>
      <c r="I85" s="643"/>
      <c r="J85" s="643"/>
      <c r="K85" s="646"/>
    </row>
    <row r="86" spans="1:11" ht="16.5">
      <c r="A86" s="682"/>
      <c r="B86" s="642"/>
      <c r="C86" s="641"/>
      <c r="D86" s="641"/>
      <c r="E86" s="641"/>
      <c r="F86" s="642"/>
      <c r="G86" s="643"/>
      <c r="H86" s="643"/>
      <c r="I86" s="643"/>
      <c r="J86" s="643"/>
      <c r="K86" s="646"/>
    </row>
    <row r="87" spans="1:11" ht="16.5">
      <c r="A87" s="682"/>
      <c r="B87" s="642"/>
      <c r="C87" s="641"/>
      <c r="D87" s="641"/>
      <c r="E87" s="641"/>
      <c r="F87" s="642"/>
      <c r="G87" s="643"/>
      <c r="H87" s="643"/>
      <c r="I87" s="643"/>
      <c r="J87" s="643"/>
      <c r="K87" s="646"/>
    </row>
    <row r="88" spans="1:11" ht="16.5">
      <c r="A88" s="682"/>
      <c r="B88" s="642"/>
      <c r="C88" s="641"/>
      <c r="D88" s="641"/>
      <c r="E88" s="641"/>
      <c r="F88" s="642"/>
      <c r="G88" s="643"/>
      <c r="H88" s="643"/>
      <c r="I88" s="643"/>
      <c r="J88" s="643"/>
      <c r="K88" s="646"/>
    </row>
    <row r="89" spans="1:11" ht="16.5">
      <c r="A89" s="682"/>
      <c r="B89" s="642"/>
      <c r="C89" s="641"/>
      <c r="D89" s="641"/>
      <c r="E89" s="641"/>
      <c r="F89" s="642"/>
      <c r="G89" s="643"/>
      <c r="H89" s="643"/>
      <c r="I89" s="643"/>
      <c r="J89" s="643"/>
      <c r="K89" s="646"/>
    </row>
    <row r="90" spans="1:11" ht="16.5">
      <c r="A90" s="682"/>
      <c r="B90" s="642"/>
      <c r="C90" s="641"/>
      <c r="D90" s="641"/>
      <c r="E90" s="641"/>
      <c r="F90" s="642"/>
      <c r="G90" s="643"/>
      <c r="H90" s="643"/>
      <c r="I90" s="643"/>
      <c r="J90" s="643"/>
      <c r="K90" s="646"/>
    </row>
    <row r="91" spans="1:11" ht="16.5">
      <c r="A91" s="682"/>
      <c r="B91" s="642"/>
      <c r="C91" s="641"/>
      <c r="D91" s="641"/>
      <c r="E91" s="641"/>
      <c r="F91" s="642"/>
      <c r="G91" s="643"/>
      <c r="H91" s="643"/>
      <c r="I91" s="643"/>
      <c r="J91" s="643"/>
      <c r="K91" s="646"/>
    </row>
    <row r="92" spans="1:11" ht="16.5">
      <c r="A92" s="682"/>
      <c r="B92" s="642"/>
      <c r="C92" s="641"/>
      <c r="D92" s="641"/>
      <c r="E92" s="641"/>
      <c r="F92" s="642"/>
      <c r="G92" s="643"/>
      <c r="H92" s="643"/>
      <c r="I92" s="643"/>
      <c r="J92" s="643"/>
      <c r="K92" s="646"/>
    </row>
    <row r="93" spans="1:11" ht="16.5">
      <c r="A93" s="682"/>
      <c r="B93" s="642"/>
      <c r="C93" s="641"/>
      <c r="D93" s="641"/>
      <c r="E93" s="641"/>
      <c r="F93" s="642"/>
      <c r="G93" s="643"/>
      <c r="H93" s="643"/>
      <c r="I93" s="643"/>
      <c r="J93" s="643"/>
      <c r="K93" s="646"/>
    </row>
    <row r="94" spans="1:11" ht="16.5">
      <c r="A94" s="682"/>
      <c r="B94" s="642"/>
      <c r="C94" s="641"/>
      <c r="D94" s="641"/>
      <c r="E94" s="641"/>
      <c r="F94" s="642"/>
      <c r="G94" s="643"/>
      <c r="H94" s="643"/>
      <c r="I94" s="643"/>
      <c r="J94" s="643"/>
      <c r="K94" s="646"/>
    </row>
    <row r="95" spans="1:11" ht="16.5">
      <c r="A95" s="682"/>
      <c r="B95" s="642"/>
      <c r="C95" s="641"/>
      <c r="D95" s="641"/>
      <c r="E95" s="641"/>
      <c r="F95" s="642"/>
      <c r="G95" s="643"/>
      <c r="H95" s="643"/>
      <c r="I95" s="643"/>
      <c r="J95" s="643"/>
      <c r="K95" s="646"/>
    </row>
    <row r="96" spans="1:11" ht="16.5">
      <c r="A96" s="682"/>
      <c r="B96" s="642"/>
      <c r="C96" s="641"/>
      <c r="D96" s="641"/>
      <c r="E96" s="641"/>
      <c r="F96" s="642"/>
      <c r="G96" s="643"/>
      <c r="H96" s="643"/>
      <c r="I96" s="643"/>
      <c r="J96" s="643"/>
      <c r="K96" s="646"/>
    </row>
    <row r="97" spans="1:11" ht="16.5">
      <c r="A97" s="682"/>
      <c r="B97" s="642"/>
      <c r="C97" s="641"/>
      <c r="D97" s="641"/>
      <c r="E97" s="641"/>
      <c r="F97" s="642"/>
      <c r="G97" s="643"/>
      <c r="H97" s="643"/>
      <c r="I97" s="643"/>
      <c r="J97" s="643"/>
      <c r="K97" s="646"/>
    </row>
    <row r="98" spans="1:11" ht="16.5">
      <c r="A98" s="682"/>
      <c r="B98" s="642"/>
      <c r="C98" s="641"/>
      <c r="D98" s="641"/>
      <c r="E98" s="641"/>
      <c r="F98" s="642"/>
      <c r="G98" s="643"/>
      <c r="H98" s="643"/>
      <c r="I98" s="643"/>
      <c r="J98" s="643"/>
      <c r="K98" s="646"/>
    </row>
    <row r="99" spans="1:11" ht="16.5">
      <c r="A99" s="682"/>
      <c r="B99" s="642"/>
      <c r="C99" s="641"/>
      <c r="D99" s="641"/>
      <c r="E99" s="641"/>
      <c r="F99" s="642"/>
      <c r="G99" s="643"/>
      <c r="H99" s="643"/>
      <c r="I99" s="643"/>
      <c r="J99" s="643"/>
      <c r="K99" s="646"/>
    </row>
    <row r="100" spans="1:11" ht="16.5">
      <c r="A100" s="682"/>
      <c r="B100" s="642"/>
      <c r="C100" s="641"/>
      <c r="D100" s="641"/>
      <c r="E100" s="641"/>
      <c r="F100" s="642"/>
      <c r="G100" s="643"/>
      <c r="H100" s="643"/>
      <c r="I100" s="643"/>
      <c r="J100" s="643"/>
      <c r="K100" s="646"/>
    </row>
    <row r="101" spans="1:11" ht="16.5">
      <c r="A101" s="682"/>
      <c r="B101" s="642"/>
      <c r="C101" s="641"/>
      <c r="D101" s="641"/>
      <c r="E101" s="641"/>
      <c r="F101" s="642"/>
      <c r="G101" s="643"/>
      <c r="H101" s="643"/>
      <c r="I101" s="643"/>
      <c r="J101" s="643"/>
      <c r="K101" s="646"/>
    </row>
    <row r="102" spans="1:11" ht="16.5">
      <c r="A102" s="682"/>
      <c r="B102" s="642"/>
      <c r="C102" s="641"/>
      <c r="D102" s="641"/>
      <c r="E102" s="641"/>
      <c r="F102" s="642"/>
      <c r="G102" s="643"/>
      <c r="H102" s="643"/>
      <c r="I102" s="643"/>
      <c r="J102" s="643"/>
      <c r="K102" s="646"/>
    </row>
    <row r="103" spans="1:11" ht="16.5">
      <c r="A103" s="682"/>
      <c r="B103" s="642"/>
      <c r="C103" s="641"/>
      <c r="D103" s="641"/>
      <c r="E103" s="641"/>
      <c r="F103" s="642"/>
      <c r="G103" s="643"/>
      <c r="H103" s="643"/>
      <c r="I103" s="643"/>
      <c r="J103" s="643"/>
      <c r="K103" s="646"/>
    </row>
    <row r="104" spans="1:11" ht="16.5">
      <c r="A104" s="682"/>
      <c r="B104" s="642"/>
      <c r="C104" s="641"/>
      <c r="D104" s="641"/>
      <c r="E104" s="641"/>
      <c r="F104" s="642"/>
      <c r="G104" s="643"/>
      <c r="H104" s="643"/>
      <c r="I104" s="643"/>
      <c r="J104" s="643"/>
      <c r="K104" s="646"/>
    </row>
    <row r="105" spans="1:11" ht="16.5">
      <c r="A105" s="682"/>
      <c r="B105" s="642"/>
      <c r="C105" s="641"/>
      <c r="D105" s="641"/>
      <c r="E105" s="641"/>
      <c r="F105" s="642"/>
      <c r="G105" s="643"/>
      <c r="H105" s="643"/>
      <c r="I105" s="643"/>
      <c r="J105" s="643"/>
      <c r="K105" s="646"/>
    </row>
    <row r="106" spans="1:11" ht="16.5">
      <c r="A106" s="682"/>
      <c r="B106" s="642"/>
      <c r="C106" s="641"/>
      <c r="D106" s="641"/>
      <c r="E106" s="641"/>
      <c r="F106" s="642"/>
      <c r="G106" s="643"/>
      <c r="H106" s="643"/>
      <c r="I106" s="643"/>
      <c r="J106" s="643"/>
      <c r="K106" s="646"/>
    </row>
    <row r="107" spans="1:11" ht="16.5">
      <c r="A107" s="682"/>
      <c r="B107" s="642"/>
      <c r="C107" s="641"/>
      <c r="D107" s="641"/>
      <c r="E107" s="641"/>
      <c r="F107" s="642"/>
      <c r="G107" s="643"/>
      <c r="H107" s="643"/>
      <c r="I107" s="643"/>
      <c r="J107" s="643"/>
      <c r="K107" s="646"/>
    </row>
    <row r="108" spans="1:11" ht="16.5">
      <c r="A108" s="682"/>
      <c r="B108" s="642"/>
      <c r="C108" s="641"/>
      <c r="D108" s="641"/>
      <c r="E108" s="641"/>
      <c r="F108" s="642"/>
      <c r="G108" s="643"/>
      <c r="H108" s="643"/>
      <c r="I108" s="643"/>
      <c r="J108" s="643"/>
      <c r="K108" s="646"/>
    </row>
    <row r="109" spans="1:11" ht="16.5">
      <c r="A109" s="682"/>
      <c r="B109" s="642"/>
      <c r="C109" s="641"/>
      <c r="D109" s="641"/>
      <c r="E109" s="641"/>
      <c r="F109" s="642"/>
      <c r="G109" s="643"/>
      <c r="H109" s="643"/>
      <c r="I109" s="643"/>
      <c r="J109" s="643"/>
      <c r="K109" s="646"/>
    </row>
    <row r="110" spans="1:11" ht="16.5">
      <c r="A110" s="682"/>
      <c r="B110" s="642"/>
      <c r="C110" s="641"/>
      <c r="D110" s="641"/>
      <c r="E110" s="641"/>
      <c r="F110" s="642"/>
      <c r="G110" s="643"/>
      <c r="H110" s="643"/>
      <c r="I110" s="643"/>
      <c r="J110" s="643"/>
      <c r="K110" s="646"/>
    </row>
    <row r="111" spans="1:11" ht="16.5">
      <c r="A111" s="682"/>
      <c r="B111" s="642"/>
      <c r="C111" s="641"/>
      <c r="D111" s="641"/>
      <c r="E111" s="641"/>
      <c r="F111" s="642"/>
      <c r="G111" s="643"/>
      <c r="H111" s="643"/>
      <c r="I111" s="643"/>
      <c r="J111" s="643"/>
      <c r="K111" s="646"/>
    </row>
    <row r="112" spans="1:11" ht="16.5">
      <c r="A112" s="682"/>
      <c r="B112" s="642"/>
      <c r="C112" s="641"/>
      <c r="D112" s="641"/>
      <c r="E112" s="641"/>
      <c r="F112" s="642"/>
      <c r="G112" s="643"/>
      <c r="H112" s="643"/>
      <c r="I112" s="643"/>
      <c r="J112" s="643"/>
      <c r="K112" s="646"/>
    </row>
    <row r="113" spans="1:11" ht="16.5">
      <c r="A113" s="682"/>
      <c r="B113" s="642"/>
      <c r="C113" s="641"/>
      <c r="D113" s="641"/>
      <c r="E113" s="641"/>
      <c r="F113" s="642"/>
      <c r="G113" s="643"/>
      <c r="H113" s="643"/>
      <c r="I113" s="643"/>
      <c r="J113" s="643"/>
      <c r="K113" s="646"/>
    </row>
    <row r="114" spans="1:11" ht="16.5">
      <c r="A114" s="682"/>
      <c r="B114" s="642"/>
      <c r="C114" s="641"/>
      <c r="D114" s="641"/>
      <c r="E114" s="641"/>
      <c r="F114" s="642"/>
      <c r="G114" s="643"/>
      <c r="H114" s="643"/>
      <c r="I114" s="643"/>
      <c r="J114" s="643"/>
      <c r="K114" s="646"/>
    </row>
    <row r="115" spans="1:11" ht="16.5">
      <c r="A115" s="682"/>
      <c r="B115" s="642"/>
      <c r="C115" s="641"/>
      <c r="D115" s="641"/>
      <c r="E115" s="641"/>
      <c r="F115" s="642"/>
      <c r="G115" s="643"/>
      <c r="H115" s="643"/>
      <c r="I115" s="643"/>
      <c r="J115" s="643"/>
      <c r="K115" s="646"/>
    </row>
    <row r="116" spans="1:11" ht="16.5">
      <c r="A116" s="682"/>
      <c r="B116" s="642"/>
      <c r="C116" s="641"/>
      <c r="D116" s="641"/>
      <c r="E116" s="641"/>
      <c r="F116" s="642"/>
      <c r="G116" s="643"/>
      <c r="H116" s="643"/>
      <c r="I116" s="643"/>
      <c r="J116" s="643"/>
      <c r="K116" s="646"/>
    </row>
    <row r="117" spans="1:11" ht="16.5">
      <c r="A117" s="682"/>
      <c r="B117" s="642"/>
      <c r="C117" s="641"/>
      <c r="D117" s="641"/>
      <c r="E117" s="641"/>
      <c r="F117" s="642"/>
      <c r="G117" s="643"/>
      <c r="H117" s="643"/>
      <c r="I117" s="643"/>
      <c r="J117" s="643"/>
      <c r="K117" s="646"/>
    </row>
    <row r="118" spans="1:11" ht="16.5">
      <c r="A118" s="682"/>
      <c r="B118" s="642"/>
      <c r="C118" s="641"/>
      <c r="D118" s="641"/>
      <c r="E118" s="641"/>
      <c r="F118" s="642"/>
      <c r="G118" s="643"/>
      <c r="H118" s="643"/>
      <c r="I118" s="643"/>
      <c r="J118" s="643"/>
      <c r="K118" s="646"/>
    </row>
    <row r="119" spans="1:11" ht="16.5">
      <c r="A119" s="682"/>
      <c r="B119" s="642"/>
      <c r="C119" s="641"/>
      <c r="D119" s="641"/>
      <c r="E119" s="641"/>
      <c r="F119" s="642"/>
      <c r="G119" s="643"/>
      <c r="H119" s="643"/>
      <c r="I119" s="643"/>
      <c r="J119" s="643"/>
      <c r="K119" s="646"/>
    </row>
    <row r="120" spans="1:11" ht="16.5">
      <c r="A120" s="682"/>
      <c r="B120" s="642"/>
      <c r="C120" s="641"/>
      <c r="D120" s="641"/>
      <c r="E120" s="641"/>
      <c r="F120" s="642"/>
      <c r="G120" s="643"/>
      <c r="H120" s="643"/>
      <c r="I120" s="643"/>
      <c r="J120" s="643"/>
      <c r="K120" s="646"/>
    </row>
    <row r="121" spans="1:11" ht="16.5">
      <c r="A121" s="682"/>
      <c r="B121" s="642"/>
      <c r="C121" s="641"/>
      <c r="D121" s="641"/>
      <c r="E121" s="641"/>
      <c r="F121" s="642"/>
      <c r="G121" s="643"/>
      <c r="H121" s="643"/>
      <c r="I121" s="643"/>
      <c r="J121" s="643"/>
      <c r="K121" s="646"/>
    </row>
    <row r="122" spans="1:11" ht="16.5">
      <c r="A122" s="682"/>
      <c r="B122" s="642"/>
      <c r="C122" s="641"/>
      <c r="D122" s="641"/>
      <c r="E122" s="641"/>
      <c r="F122" s="642"/>
      <c r="G122" s="643"/>
      <c r="H122" s="643"/>
      <c r="I122" s="643"/>
      <c r="J122" s="643"/>
      <c r="K122" s="646"/>
    </row>
    <row r="123" spans="1:11" ht="16.5">
      <c r="A123" s="682"/>
      <c r="B123" s="642"/>
      <c r="C123" s="641"/>
      <c r="D123" s="641"/>
      <c r="E123" s="641"/>
      <c r="F123" s="642"/>
      <c r="G123" s="643"/>
      <c r="H123" s="643"/>
      <c r="I123" s="643"/>
      <c r="J123" s="643"/>
      <c r="K123" s="646"/>
    </row>
    <row r="124" spans="1:11" ht="16.5">
      <c r="A124" s="682"/>
      <c r="B124" s="642"/>
      <c r="C124" s="641"/>
      <c r="D124" s="641"/>
      <c r="E124" s="641"/>
      <c r="F124" s="642"/>
      <c r="G124" s="643"/>
      <c r="H124" s="643"/>
      <c r="I124" s="643"/>
      <c r="J124" s="643"/>
      <c r="K124" s="646"/>
    </row>
    <row r="125" spans="1:11" ht="16.5">
      <c r="A125" s="682"/>
      <c r="B125" s="642"/>
      <c r="C125" s="641"/>
      <c r="D125" s="641"/>
      <c r="E125" s="641"/>
      <c r="F125" s="642"/>
      <c r="G125" s="643"/>
      <c r="H125" s="643"/>
      <c r="I125" s="643"/>
      <c r="J125" s="643"/>
      <c r="K125" s="646"/>
    </row>
    <row r="126" spans="1:11" ht="16.5">
      <c r="A126" s="682"/>
      <c r="B126" s="642"/>
      <c r="C126" s="641"/>
      <c r="D126" s="641"/>
      <c r="E126" s="641"/>
      <c r="F126" s="642"/>
      <c r="G126" s="643"/>
      <c r="H126" s="643"/>
      <c r="I126" s="643"/>
      <c r="J126" s="643"/>
      <c r="K126" s="646"/>
    </row>
    <row r="127" spans="1:11" ht="16.5">
      <c r="A127" s="682"/>
      <c r="B127" s="642"/>
      <c r="C127" s="641"/>
      <c r="D127" s="641"/>
      <c r="E127" s="641"/>
      <c r="F127" s="642"/>
      <c r="G127" s="643"/>
      <c r="H127" s="643"/>
      <c r="I127" s="643"/>
      <c r="J127" s="643"/>
      <c r="K127" s="646"/>
    </row>
    <row r="128" spans="1:11" ht="16.5">
      <c r="A128" s="682"/>
      <c r="B128" s="642"/>
      <c r="C128" s="641"/>
      <c r="D128" s="641"/>
      <c r="E128" s="641"/>
      <c r="F128" s="642"/>
      <c r="G128" s="643"/>
      <c r="H128" s="643"/>
      <c r="I128" s="643"/>
      <c r="J128" s="643"/>
      <c r="K128" s="646"/>
    </row>
    <row r="129" spans="1:11" ht="16.5">
      <c r="A129" s="682"/>
      <c r="B129" s="642"/>
      <c r="C129" s="641"/>
      <c r="D129" s="641"/>
      <c r="E129" s="641"/>
      <c r="F129" s="642"/>
      <c r="G129" s="643"/>
      <c r="H129" s="643"/>
      <c r="I129" s="643"/>
      <c r="J129" s="643"/>
      <c r="K129" s="646"/>
    </row>
    <row r="130" spans="1:11" ht="16.5">
      <c r="A130" s="682"/>
      <c r="B130" s="642"/>
      <c r="C130" s="641"/>
      <c r="D130" s="641"/>
      <c r="E130" s="641"/>
      <c r="F130" s="642"/>
      <c r="G130" s="643"/>
      <c r="H130" s="643"/>
      <c r="I130" s="643"/>
      <c r="J130" s="643"/>
      <c r="K130" s="646"/>
    </row>
    <row r="131" spans="1:11" ht="16.5">
      <c r="A131" s="682"/>
      <c r="B131" s="642"/>
      <c r="C131" s="641"/>
      <c r="D131" s="641"/>
      <c r="E131" s="641"/>
      <c r="F131" s="642"/>
      <c r="G131" s="643"/>
      <c r="H131" s="643"/>
      <c r="I131" s="643"/>
      <c r="J131" s="643"/>
      <c r="K131" s="646"/>
    </row>
    <row r="132" spans="1:11" ht="16.5">
      <c r="A132" s="682"/>
      <c r="B132" s="642"/>
      <c r="C132" s="641"/>
      <c r="D132" s="641"/>
      <c r="E132" s="641"/>
      <c r="F132" s="642"/>
      <c r="G132" s="643"/>
      <c r="H132" s="643"/>
      <c r="I132" s="643"/>
      <c r="J132" s="643"/>
      <c r="K132" s="646"/>
    </row>
    <row r="133" spans="1:11" ht="16.5">
      <c r="A133" s="682"/>
      <c r="B133" s="642"/>
      <c r="C133" s="641"/>
      <c r="D133" s="641"/>
      <c r="E133" s="641"/>
      <c r="F133" s="642"/>
      <c r="G133" s="643"/>
      <c r="H133" s="643"/>
      <c r="I133" s="643"/>
      <c r="J133" s="643"/>
      <c r="K133" s="646"/>
    </row>
    <row r="134" spans="1:11" ht="16.5">
      <c r="A134" s="682"/>
      <c r="B134" s="642"/>
      <c r="C134" s="641"/>
      <c r="D134" s="641"/>
      <c r="E134" s="641"/>
      <c r="F134" s="642"/>
      <c r="G134" s="643"/>
      <c r="H134" s="643"/>
      <c r="I134" s="643"/>
      <c r="J134" s="643"/>
      <c r="K134" s="646"/>
    </row>
    <row r="135" spans="1:11" ht="16.5">
      <c r="A135" s="682"/>
      <c r="B135" s="642"/>
      <c r="C135" s="641"/>
      <c r="D135" s="641"/>
      <c r="E135" s="641"/>
      <c r="F135" s="642"/>
      <c r="G135" s="643"/>
      <c r="H135" s="643"/>
      <c r="I135" s="643"/>
      <c r="J135" s="643"/>
      <c r="K135" s="646"/>
    </row>
    <row r="136" spans="1:11" ht="16.5">
      <c r="A136" s="682"/>
      <c r="B136" s="642"/>
      <c r="C136" s="641"/>
      <c r="D136" s="641"/>
      <c r="E136" s="641"/>
      <c r="F136" s="642"/>
      <c r="G136" s="643"/>
      <c r="H136" s="643"/>
      <c r="I136" s="643"/>
      <c r="J136" s="643"/>
      <c r="K136" s="646"/>
    </row>
    <row r="137" spans="1:11" ht="16.5">
      <c r="A137" s="682"/>
      <c r="B137" s="642"/>
      <c r="C137" s="641"/>
      <c r="D137" s="641"/>
      <c r="E137" s="641"/>
      <c r="F137" s="642"/>
      <c r="G137" s="643"/>
      <c r="H137" s="643"/>
      <c r="I137" s="643"/>
      <c r="J137" s="643"/>
      <c r="K137" s="646"/>
    </row>
    <row r="138" spans="1:11" ht="16.5">
      <c r="A138" s="682"/>
      <c r="B138" s="642"/>
      <c r="C138" s="641"/>
      <c r="D138" s="641"/>
      <c r="E138" s="641"/>
      <c r="F138" s="642"/>
      <c r="G138" s="643"/>
      <c r="H138" s="643"/>
      <c r="I138" s="643"/>
      <c r="J138" s="643"/>
      <c r="K138" s="646"/>
    </row>
    <row r="139" spans="1:11" ht="16.5">
      <c r="A139" s="682"/>
      <c r="B139" s="642"/>
      <c r="C139" s="641"/>
      <c r="D139" s="641"/>
      <c r="E139" s="641"/>
      <c r="F139" s="642"/>
      <c r="G139" s="643"/>
      <c r="H139" s="643"/>
      <c r="I139" s="643"/>
      <c r="J139" s="643"/>
      <c r="K139" s="646"/>
    </row>
    <row r="140" spans="1:11" ht="16.5">
      <c r="A140" s="682"/>
      <c r="B140" s="642"/>
      <c r="C140" s="641"/>
      <c r="D140" s="641"/>
      <c r="E140" s="641"/>
      <c r="F140" s="642"/>
      <c r="G140" s="643"/>
      <c r="H140" s="643"/>
      <c r="I140" s="643"/>
      <c r="J140" s="643"/>
      <c r="K140" s="646"/>
    </row>
    <row r="141" spans="1:11" ht="16.5">
      <c r="A141" s="682"/>
      <c r="B141" s="642"/>
      <c r="C141" s="641"/>
      <c r="D141" s="641"/>
      <c r="E141" s="641"/>
      <c r="F141" s="642"/>
      <c r="G141" s="643"/>
      <c r="H141" s="643"/>
      <c r="I141" s="643"/>
      <c r="J141" s="643"/>
      <c r="K141" s="646"/>
    </row>
    <row r="142" spans="1:11" ht="16.5">
      <c r="A142" s="682"/>
      <c r="B142" s="642"/>
      <c r="C142" s="641"/>
      <c r="D142" s="641"/>
      <c r="E142" s="641"/>
      <c r="F142" s="642"/>
      <c r="G142" s="643"/>
      <c r="H142" s="643"/>
      <c r="I142" s="643"/>
      <c r="J142" s="643"/>
      <c r="K142" s="646"/>
    </row>
    <row r="143" spans="1:11" ht="16.5">
      <c r="A143" s="682"/>
      <c r="B143" s="642"/>
      <c r="C143" s="641"/>
      <c r="D143" s="641"/>
      <c r="E143" s="641"/>
      <c r="F143" s="642"/>
      <c r="G143" s="643"/>
      <c r="H143" s="643"/>
      <c r="I143" s="643"/>
      <c r="J143" s="643"/>
      <c r="K143" s="646"/>
    </row>
    <row r="144" spans="1:11" ht="16.5">
      <c r="A144" s="682"/>
      <c r="B144" s="642"/>
      <c r="C144" s="641"/>
      <c r="D144" s="641"/>
      <c r="E144" s="641"/>
      <c r="F144" s="642"/>
      <c r="G144" s="643"/>
      <c r="H144" s="643"/>
      <c r="I144" s="643"/>
      <c r="J144" s="643"/>
      <c r="K144" s="646"/>
    </row>
    <row r="145" spans="1:11" ht="16.5">
      <c r="A145" s="682"/>
      <c r="B145" s="642"/>
      <c r="C145" s="641"/>
      <c r="D145" s="641"/>
      <c r="E145" s="641"/>
      <c r="F145" s="642"/>
      <c r="G145" s="643"/>
      <c r="H145" s="643"/>
      <c r="I145" s="643"/>
      <c r="J145" s="643"/>
      <c r="K145" s="646"/>
    </row>
    <row r="146" spans="1:11" ht="16.5">
      <c r="A146" s="682"/>
      <c r="B146" s="642"/>
      <c r="C146" s="641"/>
      <c r="D146" s="641"/>
      <c r="E146" s="641"/>
      <c r="F146" s="642"/>
      <c r="G146" s="643"/>
      <c r="H146" s="643"/>
      <c r="I146" s="643"/>
      <c r="J146" s="643"/>
      <c r="K146" s="646"/>
    </row>
    <row r="147" spans="1:11" ht="16.5">
      <c r="A147" s="682"/>
      <c r="B147" s="642"/>
      <c r="C147" s="641"/>
      <c r="D147" s="641"/>
      <c r="E147" s="641"/>
      <c r="F147" s="642"/>
      <c r="G147" s="643"/>
      <c r="H147" s="643"/>
      <c r="I147" s="643"/>
      <c r="J147" s="643"/>
      <c r="K147" s="646"/>
    </row>
    <row r="148" spans="1:11" ht="16.5">
      <c r="A148" s="682"/>
      <c r="B148" s="642"/>
      <c r="C148" s="641"/>
      <c r="D148" s="641"/>
      <c r="E148" s="641"/>
      <c r="F148" s="642"/>
      <c r="G148" s="643"/>
      <c r="H148" s="643"/>
      <c r="I148" s="643"/>
      <c r="J148" s="643"/>
      <c r="K148" s="646"/>
    </row>
    <row r="149" spans="1:11" ht="16.5">
      <c r="A149" s="682"/>
      <c r="B149" s="642"/>
      <c r="C149" s="641"/>
      <c r="D149" s="641"/>
      <c r="E149" s="641"/>
      <c r="F149" s="642"/>
      <c r="G149" s="643"/>
      <c r="H149" s="643"/>
      <c r="I149" s="643"/>
      <c r="J149" s="643"/>
      <c r="K149" s="646"/>
    </row>
    <row r="150" spans="1:11" ht="16.5">
      <c r="A150" s="682"/>
      <c r="B150" s="642"/>
      <c r="C150" s="641"/>
      <c r="D150" s="641"/>
      <c r="E150" s="641"/>
      <c r="F150" s="642"/>
      <c r="G150" s="643"/>
      <c r="H150" s="643"/>
      <c r="I150" s="643"/>
      <c r="J150" s="643"/>
      <c r="K150" s="646"/>
    </row>
    <row r="151" spans="1:11" ht="16.5">
      <c r="A151" s="682"/>
      <c r="B151" s="642"/>
      <c r="C151" s="641"/>
      <c r="D151" s="641"/>
      <c r="E151" s="641"/>
      <c r="F151" s="642"/>
      <c r="G151" s="643"/>
      <c r="H151" s="643"/>
      <c r="I151" s="643"/>
      <c r="J151" s="643"/>
      <c r="K151" s="646"/>
    </row>
    <row r="152" spans="1:11" ht="16.5">
      <c r="A152" s="682"/>
      <c r="B152" s="642"/>
      <c r="C152" s="641"/>
      <c r="D152" s="641"/>
      <c r="E152" s="641"/>
      <c r="F152" s="642"/>
      <c r="G152" s="643"/>
      <c r="H152" s="643"/>
      <c r="I152" s="643"/>
      <c r="J152" s="643"/>
      <c r="K152" s="646"/>
    </row>
    <row r="153" spans="1:11" ht="16.5">
      <c r="A153" s="682"/>
      <c r="B153" s="642"/>
      <c r="C153" s="641"/>
      <c r="D153" s="641"/>
      <c r="E153" s="641"/>
      <c r="F153" s="642"/>
      <c r="G153" s="643"/>
      <c r="H153" s="643"/>
      <c r="I153" s="643"/>
      <c r="J153" s="643"/>
      <c r="K153" s="646"/>
    </row>
    <row r="154" spans="1:11" ht="16.5">
      <c r="A154" s="682"/>
      <c r="B154" s="642"/>
      <c r="C154" s="641"/>
      <c r="D154" s="641"/>
      <c r="E154" s="641"/>
      <c r="F154" s="642"/>
      <c r="G154" s="643"/>
      <c r="H154" s="643"/>
      <c r="I154" s="643"/>
      <c r="J154" s="643"/>
      <c r="K154" s="646"/>
    </row>
    <row r="155" spans="1:11" ht="16.5">
      <c r="A155" s="682"/>
      <c r="B155" s="642"/>
      <c r="C155" s="641"/>
      <c r="D155" s="641"/>
      <c r="E155" s="641"/>
      <c r="F155" s="642"/>
      <c r="G155" s="643"/>
      <c r="H155" s="643"/>
      <c r="I155" s="643"/>
      <c r="J155" s="643"/>
      <c r="K155" s="646"/>
    </row>
    <row r="156" spans="1:11" ht="16.5">
      <c r="A156" s="682"/>
      <c r="B156" s="642"/>
      <c r="C156" s="641"/>
      <c r="D156" s="641"/>
      <c r="E156" s="641"/>
      <c r="F156" s="642"/>
      <c r="G156" s="643"/>
      <c r="H156" s="643"/>
      <c r="I156" s="643"/>
      <c r="J156" s="643"/>
      <c r="K156" s="646"/>
    </row>
    <row r="157" spans="1:11" ht="16.5">
      <c r="A157" s="682"/>
      <c r="B157" s="642"/>
      <c r="C157" s="641"/>
      <c r="D157" s="641"/>
      <c r="E157" s="641"/>
      <c r="F157" s="642"/>
      <c r="G157" s="643"/>
      <c r="H157" s="643"/>
      <c r="I157" s="643"/>
      <c r="J157" s="643"/>
      <c r="K157" s="646"/>
    </row>
    <row r="158" spans="1:11" ht="16.5">
      <c r="A158" s="682"/>
      <c r="B158" s="642"/>
      <c r="C158" s="641"/>
      <c r="D158" s="641"/>
      <c r="E158" s="641"/>
      <c r="F158" s="642"/>
      <c r="G158" s="643"/>
      <c r="H158" s="643"/>
      <c r="I158" s="643"/>
      <c r="J158" s="643"/>
      <c r="K158" s="646"/>
    </row>
    <row r="159" spans="1:11" ht="16.5">
      <c r="A159" s="682"/>
      <c r="B159" s="642"/>
      <c r="C159" s="641"/>
      <c r="D159" s="641"/>
      <c r="E159" s="641"/>
      <c r="F159" s="642"/>
      <c r="G159" s="643"/>
      <c r="H159" s="643"/>
      <c r="I159" s="643"/>
      <c r="J159" s="643"/>
      <c r="K159" s="646"/>
    </row>
    <row r="160" spans="1:11" ht="16.5">
      <c r="A160" s="682"/>
      <c r="B160" s="642"/>
      <c r="C160" s="641"/>
      <c r="D160" s="641"/>
      <c r="E160" s="641"/>
      <c r="F160" s="642"/>
      <c r="G160" s="643"/>
      <c r="H160" s="643"/>
      <c r="I160" s="643"/>
      <c r="J160" s="643"/>
      <c r="K160" s="646"/>
    </row>
    <row r="161" spans="1:11" ht="16.5">
      <c r="A161" s="682"/>
      <c r="B161" s="642"/>
      <c r="C161" s="641"/>
      <c r="D161" s="641"/>
      <c r="E161" s="641"/>
      <c r="F161" s="642"/>
      <c r="G161" s="643"/>
      <c r="H161" s="643"/>
      <c r="I161" s="643"/>
      <c r="J161" s="643"/>
      <c r="K161" s="646"/>
    </row>
    <row r="162" spans="1:11" ht="16.5">
      <c r="A162" s="682"/>
      <c r="B162" s="642"/>
      <c r="C162" s="641"/>
      <c r="D162" s="641"/>
      <c r="E162" s="641"/>
      <c r="F162" s="642"/>
      <c r="G162" s="643"/>
      <c r="H162" s="643"/>
      <c r="I162" s="643"/>
      <c r="J162" s="643"/>
      <c r="K162" s="646"/>
    </row>
    <row r="163" spans="1:11" ht="16.5">
      <c r="A163" s="682"/>
      <c r="B163" s="642"/>
      <c r="C163" s="641"/>
      <c r="D163" s="641"/>
      <c r="E163" s="641"/>
      <c r="F163" s="642"/>
      <c r="G163" s="643"/>
      <c r="H163" s="643"/>
      <c r="I163" s="643"/>
      <c r="J163" s="643"/>
      <c r="K163" s="646"/>
    </row>
    <row r="164" spans="1:11" ht="16.5">
      <c r="A164" s="682"/>
      <c r="B164" s="642"/>
      <c r="C164" s="641"/>
      <c r="D164" s="641"/>
      <c r="E164" s="641"/>
      <c r="F164" s="642"/>
      <c r="G164" s="643"/>
      <c r="H164" s="643"/>
      <c r="I164" s="643"/>
      <c r="J164" s="643"/>
      <c r="K164" s="646"/>
    </row>
    <row r="165" spans="1:11" ht="16.5">
      <c r="A165" s="682"/>
      <c r="B165" s="642"/>
      <c r="C165" s="641"/>
      <c r="D165" s="641"/>
      <c r="E165" s="641"/>
      <c r="F165" s="642"/>
      <c r="G165" s="643"/>
      <c r="H165" s="643"/>
      <c r="I165" s="643"/>
      <c r="J165" s="643"/>
      <c r="K165" s="646"/>
    </row>
    <row r="166" spans="1:11" ht="16.5">
      <c r="A166" s="682"/>
      <c r="B166" s="642"/>
      <c r="C166" s="641"/>
      <c r="D166" s="641"/>
      <c r="E166" s="641"/>
      <c r="F166" s="642"/>
      <c r="G166" s="643"/>
      <c r="H166" s="643"/>
      <c r="I166" s="643"/>
      <c r="J166" s="643"/>
      <c r="K166" s="646"/>
    </row>
    <row r="167" spans="1:11" ht="16.5">
      <c r="A167" s="682"/>
      <c r="B167" s="642"/>
      <c r="C167" s="641"/>
      <c r="D167" s="641"/>
      <c r="E167" s="641"/>
      <c r="F167" s="642"/>
      <c r="G167" s="643"/>
      <c r="H167" s="643"/>
      <c r="I167" s="643"/>
      <c r="J167" s="643"/>
      <c r="K167" s="646"/>
    </row>
    <row r="168" spans="1:11" ht="16.5">
      <c r="A168" s="682"/>
      <c r="B168" s="642"/>
      <c r="C168" s="641"/>
      <c r="D168" s="641"/>
      <c r="E168" s="641"/>
      <c r="F168" s="642"/>
      <c r="G168" s="643"/>
      <c r="H168" s="643"/>
      <c r="I168" s="643"/>
      <c r="J168" s="643"/>
      <c r="K168" s="646"/>
    </row>
    <row r="169" spans="1:11" ht="16.5">
      <c r="A169" s="682"/>
      <c r="B169" s="642"/>
      <c r="C169" s="641"/>
      <c r="D169" s="641"/>
      <c r="E169" s="641"/>
      <c r="F169" s="642"/>
      <c r="G169" s="643"/>
      <c r="H169" s="643"/>
      <c r="I169" s="643"/>
      <c r="J169" s="643"/>
      <c r="K169" s="646"/>
    </row>
    <row r="170" spans="1:11" ht="16.5">
      <c r="A170" s="682"/>
      <c r="B170" s="642"/>
      <c r="C170" s="641"/>
      <c r="D170" s="641"/>
      <c r="E170" s="641"/>
      <c r="F170" s="642"/>
      <c r="G170" s="643"/>
      <c r="H170" s="643"/>
      <c r="I170" s="643"/>
      <c r="J170" s="643"/>
      <c r="K170" s="646"/>
    </row>
    <row r="171" spans="1:11" ht="16.5">
      <c r="A171" s="682"/>
      <c r="B171" s="642"/>
      <c r="C171" s="641"/>
      <c r="D171" s="641"/>
      <c r="E171" s="641"/>
      <c r="F171" s="642"/>
      <c r="G171" s="643"/>
      <c r="H171" s="643"/>
      <c r="I171" s="643"/>
      <c r="J171" s="643"/>
      <c r="K171" s="646"/>
    </row>
    <row r="172" spans="1:11" ht="16.5">
      <c r="A172" s="682"/>
      <c r="B172" s="642"/>
      <c r="C172" s="641"/>
      <c r="D172" s="641"/>
      <c r="E172" s="641"/>
      <c r="F172" s="642"/>
      <c r="G172" s="643"/>
      <c r="H172" s="643"/>
      <c r="I172" s="643"/>
      <c r="J172" s="643"/>
      <c r="K172" s="646"/>
    </row>
    <row r="173" spans="1:11" ht="16.5">
      <c r="A173" s="682"/>
      <c r="B173" s="642"/>
      <c r="C173" s="641"/>
      <c r="D173" s="641"/>
      <c r="E173" s="641"/>
      <c r="F173" s="642"/>
      <c r="G173" s="643"/>
      <c r="H173" s="643"/>
      <c r="I173" s="643"/>
      <c r="J173" s="643"/>
      <c r="K173" s="646"/>
    </row>
    <row r="174" spans="1:11" ht="16.5">
      <c r="A174" s="682"/>
      <c r="B174" s="642"/>
      <c r="C174" s="641"/>
      <c r="D174" s="641"/>
      <c r="E174" s="641"/>
      <c r="F174" s="642"/>
      <c r="G174" s="643"/>
      <c r="H174" s="643"/>
      <c r="I174" s="643"/>
      <c r="J174" s="643"/>
      <c r="K174" s="646"/>
    </row>
    <row r="175" spans="1:11" ht="16.5">
      <c r="A175" s="682"/>
      <c r="B175" s="642"/>
      <c r="C175" s="641"/>
      <c r="D175" s="641"/>
      <c r="E175" s="641"/>
      <c r="F175" s="642"/>
      <c r="G175" s="643"/>
      <c r="H175" s="643"/>
      <c r="I175" s="643"/>
      <c r="J175" s="643"/>
      <c r="K175" s="646"/>
    </row>
    <row r="176" spans="1:11" ht="16.5">
      <c r="A176" s="682"/>
      <c r="B176" s="642"/>
      <c r="C176" s="641"/>
      <c r="D176" s="641"/>
      <c r="E176" s="641"/>
      <c r="F176" s="642"/>
      <c r="G176" s="643"/>
      <c r="H176" s="643"/>
      <c r="I176" s="643"/>
      <c r="J176" s="643"/>
      <c r="K176" s="646"/>
    </row>
    <row r="177" spans="1:11" ht="16.5">
      <c r="A177" s="682"/>
      <c r="B177" s="642"/>
      <c r="C177" s="641"/>
      <c r="D177" s="641"/>
      <c r="E177" s="641"/>
      <c r="F177" s="642"/>
      <c r="G177" s="643"/>
      <c r="H177" s="643"/>
      <c r="I177" s="643"/>
      <c r="J177" s="643"/>
      <c r="K177" s="646"/>
    </row>
    <row r="178" spans="1:11" ht="16.5">
      <c r="A178" s="682"/>
      <c r="B178" s="642"/>
      <c r="C178" s="641"/>
      <c r="D178" s="641"/>
      <c r="E178" s="641"/>
      <c r="F178" s="642"/>
      <c r="G178" s="643"/>
      <c r="H178" s="643"/>
      <c r="I178" s="643"/>
      <c r="J178" s="643"/>
      <c r="K178" s="646"/>
    </row>
    <row r="179" spans="1:11" ht="16.5">
      <c r="A179" s="682"/>
      <c r="B179" s="642"/>
      <c r="C179" s="641"/>
      <c r="D179" s="641"/>
      <c r="E179" s="641"/>
      <c r="F179" s="642"/>
      <c r="G179" s="643"/>
      <c r="H179" s="643"/>
      <c r="I179" s="643"/>
      <c r="J179" s="643"/>
      <c r="K179" s="646"/>
    </row>
    <row r="180" spans="1:11" ht="16.5">
      <c r="A180" s="682"/>
      <c r="B180" s="642"/>
      <c r="C180" s="641"/>
      <c r="D180" s="641"/>
      <c r="E180" s="641"/>
      <c r="F180" s="642"/>
      <c r="G180" s="643"/>
      <c r="H180" s="643"/>
      <c r="I180" s="643"/>
      <c r="J180" s="643"/>
      <c r="K180" s="646"/>
    </row>
    <row r="181" spans="1:11" ht="16.5">
      <c r="A181" s="682"/>
      <c r="B181" s="642"/>
      <c r="C181" s="641"/>
      <c r="D181" s="641"/>
      <c r="E181" s="641"/>
      <c r="F181" s="642"/>
      <c r="G181" s="643"/>
      <c r="H181" s="643"/>
      <c r="I181" s="643"/>
      <c r="J181" s="643"/>
      <c r="K181" s="646"/>
    </row>
    <row r="182" spans="1:11" ht="16.5">
      <c r="A182" s="682"/>
      <c r="B182" s="642"/>
      <c r="C182" s="641"/>
      <c r="D182" s="641"/>
      <c r="E182" s="641"/>
      <c r="F182" s="642"/>
      <c r="G182" s="643"/>
      <c r="H182" s="643"/>
      <c r="I182" s="643"/>
      <c r="J182" s="643"/>
      <c r="K182" s="646"/>
    </row>
    <row r="183" spans="1:11" ht="16.5">
      <c r="A183" s="682"/>
      <c r="B183" s="642"/>
      <c r="C183" s="641"/>
      <c r="D183" s="641"/>
      <c r="E183" s="641"/>
      <c r="F183" s="642"/>
      <c r="G183" s="643"/>
      <c r="H183" s="643"/>
      <c r="I183" s="643"/>
      <c r="J183" s="643"/>
      <c r="K183" s="646"/>
    </row>
    <row r="184" spans="1:11" ht="16.5">
      <c r="A184" s="682"/>
      <c r="B184" s="642"/>
      <c r="C184" s="641"/>
      <c r="D184" s="641"/>
      <c r="E184" s="641"/>
      <c r="F184" s="642"/>
      <c r="G184" s="643"/>
      <c r="H184" s="643"/>
      <c r="I184" s="643"/>
      <c r="J184" s="643"/>
      <c r="K184" s="646"/>
    </row>
    <row r="185" spans="1:11" ht="16.5">
      <c r="A185" s="682"/>
      <c r="B185" s="642"/>
      <c r="C185" s="641"/>
      <c r="D185" s="641"/>
      <c r="E185" s="641"/>
      <c r="F185" s="642"/>
      <c r="G185" s="643"/>
      <c r="H185" s="643"/>
      <c r="I185" s="643"/>
      <c r="J185" s="643"/>
      <c r="K185" s="646"/>
    </row>
    <row r="186" spans="1:11" ht="16.5">
      <c r="A186" s="682"/>
      <c r="B186" s="642"/>
      <c r="C186" s="641"/>
      <c r="D186" s="641"/>
      <c r="E186" s="641"/>
      <c r="F186" s="642"/>
      <c r="G186" s="643"/>
      <c r="H186" s="643"/>
      <c r="I186" s="643"/>
      <c r="J186" s="643"/>
      <c r="K186" s="646"/>
    </row>
    <row r="187" spans="1:11" ht="16.5">
      <c r="A187" s="682"/>
      <c r="B187" s="642"/>
      <c r="C187" s="641"/>
      <c r="D187" s="641"/>
      <c r="E187" s="641"/>
      <c r="F187" s="642"/>
      <c r="G187" s="643"/>
      <c r="H187" s="643"/>
      <c r="I187" s="643"/>
      <c r="J187" s="643"/>
      <c r="K187" s="646"/>
    </row>
    <row r="188" spans="1:11" ht="16.5">
      <c r="A188" s="682"/>
      <c r="B188" s="642"/>
      <c r="C188" s="641"/>
      <c r="D188" s="641"/>
      <c r="E188" s="641"/>
      <c r="F188" s="642"/>
      <c r="G188" s="643"/>
      <c r="H188" s="643"/>
      <c r="I188" s="643"/>
      <c r="J188" s="643"/>
      <c r="K188" s="646"/>
    </row>
    <row r="189" spans="1:11" ht="16.5">
      <c r="A189" s="682"/>
      <c r="B189" s="642"/>
      <c r="C189" s="641"/>
      <c r="D189" s="641"/>
      <c r="E189" s="641"/>
      <c r="F189" s="642"/>
      <c r="G189" s="643"/>
      <c r="H189" s="643"/>
      <c r="I189" s="643"/>
      <c r="J189" s="643"/>
      <c r="K189" s="646"/>
    </row>
    <row r="190" spans="1:11" ht="16.5">
      <c r="A190" s="682"/>
      <c r="B190" s="642"/>
      <c r="C190" s="641"/>
      <c r="D190" s="641"/>
      <c r="E190" s="641"/>
      <c r="F190" s="642"/>
      <c r="G190" s="643"/>
      <c r="H190" s="643"/>
      <c r="I190" s="643"/>
      <c r="J190" s="643"/>
      <c r="K190" s="646"/>
    </row>
    <row r="191" spans="1:11" ht="16.5">
      <c r="A191" s="682"/>
      <c r="B191" s="642"/>
      <c r="C191" s="641"/>
      <c r="D191" s="641"/>
      <c r="E191" s="641"/>
      <c r="F191" s="642"/>
      <c r="G191" s="643"/>
      <c r="H191" s="643"/>
      <c r="I191" s="643"/>
      <c r="J191" s="643"/>
      <c r="K191" s="646"/>
    </row>
    <row r="192" spans="1:11" ht="16.5">
      <c r="A192" s="682"/>
      <c r="B192" s="642"/>
      <c r="C192" s="641"/>
      <c r="D192" s="641"/>
      <c r="E192" s="641"/>
      <c r="F192" s="642"/>
      <c r="G192" s="643"/>
      <c r="H192" s="643"/>
      <c r="I192" s="643"/>
      <c r="J192" s="643"/>
      <c r="K192" s="646"/>
    </row>
    <row r="193" spans="1:11" ht="16.5">
      <c r="A193" s="682"/>
      <c r="B193" s="642"/>
      <c r="C193" s="641"/>
      <c r="D193" s="641"/>
      <c r="E193" s="641"/>
      <c r="F193" s="642"/>
      <c r="G193" s="643"/>
      <c r="H193" s="643"/>
      <c r="I193" s="643"/>
      <c r="J193" s="643"/>
      <c r="K193" s="646"/>
    </row>
    <row r="194" spans="1:11" ht="16.5">
      <c r="A194" s="682"/>
      <c r="B194" s="642"/>
      <c r="C194" s="641"/>
      <c r="D194" s="641"/>
      <c r="E194" s="641"/>
      <c r="F194" s="642"/>
      <c r="G194" s="643"/>
      <c r="H194" s="643"/>
      <c r="I194" s="643"/>
      <c r="J194" s="643"/>
      <c r="K194" s="646"/>
    </row>
    <row r="195" spans="1:11" ht="16.5">
      <c r="A195" s="682"/>
      <c r="B195" s="642"/>
      <c r="C195" s="641"/>
      <c r="D195" s="641"/>
      <c r="E195" s="641"/>
      <c r="F195" s="642"/>
      <c r="G195" s="643"/>
      <c r="H195" s="643"/>
      <c r="I195" s="643"/>
      <c r="J195" s="643"/>
      <c r="K195" s="646"/>
    </row>
    <row r="196" spans="1:11" ht="16.5">
      <c r="A196" s="682"/>
      <c r="B196" s="642"/>
      <c r="C196" s="641"/>
      <c r="D196" s="641"/>
      <c r="E196" s="641"/>
      <c r="F196" s="642"/>
      <c r="G196" s="643"/>
      <c r="H196" s="643"/>
      <c r="I196" s="643"/>
      <c r="J196" s="643"/>
      <c r="K196" s="646"/>
    </row>
    <row r="197" spans="1:11" ht="16.5">
      <c r="A197" s="682"/>
      <c r="B197" s="642"/>
      <c r="C197" s="641"/>
      <c r="D197" s="641"/>
      <c r="E197" s="641"/>
      <c r="F197" s="642"/>
      <c r="G197" s="643"/>
      <c r="H197" s="643"/>
      <c r="I197" s="643"/>
      <c r="J197" s="643"/>
      <c r="K197" s="646"/>
    </row>
    <row r="198" spans="1:11" ht="16.5">
      <c r="A198" s="682"/>
      <c r="B198" s="642"/>
      <c r="C198" s="641"/>
      <c r="D198" s="641"/>
      <c r="E198" s="641"/>
      <c r="F198" s="642"/>
      <c r="G198" s="643"/>
      <c r="H198" s="643"/>
      <c r="I198" s="643"/>
      <c r="J198" s="643"/>
      <c r="K198" s="646"/>
    </row>
    <row r="199" spans="1:11" ht="16.5">
      <c r="A199" s="682"/>
      <c r="B199" s="642"/>
      <c r="C199" s="641"/>
      <c r="D199" s="641"/>
      <c r="E199" s="641"/>
      <c r="F199" s="642"/>
      <c r="G199" s="643"/>
      <c r="H199" s="643"/>
      <c r="I199" s="643"/>
      <c r="J199" s="643"/>
      <c r="K199" s="646"/>
    </row>
    <row r="200" spans="1:11" ht="16.5">
      <c r="A200" s="682"/>
      <c r="B200" s="642"/>
      <c r="C200" s="641"/>
      <c r="D200" s="641"/>
      <c r="E200" s="641"/>
      <c r="F200" s="642"/>
      <c r="G200" s="643"/>
      <c r="H200" s="643"/>
      <c r="I200" s="643"/>
      <c r="J200" s="643"/>
      <c r="K200" s="646"/>
    </row>
    <row r="201" spans="1:11" ht="16.5">
      <c r="A201" s="682"/>
      <c r="B201" s="642"/>
      <c r="C201" s="641"/>
      <c r="D201" s="641"/>
      <c r="E201" s="641"/>
      <c r="F201" s="642"/>
      <c r="G201" s="643"/>
      <c r="H201" s="643"/>
      <c r="I201" s="643"/>
      <c r="J201" s="643"/>
      <c r="K201" s="646"/>
    </row>
    <row r="202" spans="1:11" ht="16.5">
      <c r="A202" s="682"/>
      <c r="B202" s="642"/>
      <c r="C202" s="641"/>
      <c r="D202" s="641"/>
      <c r="E202" s="641"/>
      <c r="F202" s="642"/>
      <c r="G202" s="643"/>
      <c r="H202" s="643"/>
      <c r="I202" s="643"/>
      <c r="J202" s="643"/>
      <c r="K202" s="646"/>
    </row>
    <row r="203" spans="1:11" ht="16.5">
      <c r="A203" s="682"/>
      <c r="B203" s="642"/>
      <c r="C203" s="641"/>
      <c r="D203" s="641"/>
      <c r="E203" s="641"/>
      <c r="F203" s="642"/>
      <c r="G203" s="643"/>
      <c r="H203" s="643"/>
      <c r="I203" s="643"/>
      <c r="J203" s="643"/>
      <c r="K203" s="646"/>
    </row>
    <row r="204" spans="1:11" ht="16.5">
      <c r="A204" s="682"/>
      <c r="B204" s="642"/>
      <c r="C204" s="641"/>
      <c r="D204" s="641"/>
      <c r="E204" s="641"/>
      <c r="F204" s="642"/>
      <c r="G204" s="643"/>
      <c r="H204" s="643"/>
      <c r="I204" s="643"/>
      <c r="J204" s="643"/>
      <c r="K204" s="646"/>
    </row>
    <row r="205" spans="1:11" ht="16.5">
      <c r="A205" s="682"/>
      <c r="B205" s="642"/>
      <c r="C205" s="641"/>
      <c r="D205" s="641"/>
      <c r="E205" s="641"/>
      <c r="F205" s="642"/>
      <c r="G205" s="643"/>
      <c r="H205" s="643"/>
      <c r="I205" s="643"/>
      <c r="J205" s="643"/>
      <c r="K205" s="646"/>
    </row>
    <row r="206" spans="1:11" ht="16.5">
      <c r="A206" s="682"/>
      <c r="B206" s="642"/>
      <c r="C206" s="641"/>
      <c r="D206" s="641"/>
      <c r="E206" s="641"/>
      <c r="F206" s="642"/>
      <c r="G206" s="643"/>
      <c r="H206" s="643"/>
      <c r="I206" s="643"/>
      <c r="J206" s="643"/>
      <c r="K206" s="646"/>
    </row>
    <row r="207" spans="1:11" ht="16.5">
      <c r="A207" s="682"/>
      <c r="B207" s="642"/>
      <c r="C207" s="641"/>
      <c r="D207" s="641"/>
      <c r="E207" s="641"/>
      <c r="F207" s="642"/>
      <c r="G207" s="643"/>
      <c r="H207" s="643"/>
      <c r="I207" s="643"/>
      <c r="J207" s="643"/>
      <c r="K207" s="646"/>
    </row>
    <row r="208" spans="1:11" ht="16.5">
      <c r="A208" s="682"/>
      <c r="B208" s="642"/>
      <c r="C208" s="641"/>
      <c r="D208" s="641"/>
      <c r="E208" s="641"/>
      <c r="F208" s="642"/>
      <c r="G208" s="643"/>
      <c r="H208" s="643"/>
      <c r="I208" s="643"/>
      <c r="J208" s="643"/>
      <c r="K208" s="646"/>
    </row>
    <row r="209" spans="1:11" ht="16.5">
      <c r="A209" s="682"/>
      <c r="B209" s="642"/>
      <c r="C209" s="641"/>
      <c r="D209" s="641"/>
      <c r="E209" s="641"/>
      <c r="F209" s="642"/>
      <c r="G209" s="643"/>
      <c r="H209" s="643"/>
      <c r="I209" s="643"/>
      <c r="J209" s="643"/>
      <c r="K209" s="646"/>
    </row>
    <row r="210" spans="1:11" ht="16.5">
      <c r="A210" s="682"/>
      <c r="B210" s="642"/>
      <c r="C210" s="641"/>
      <c r="D210" s="641"/>
      <c r="E210" s="641"/>
      <c r="F210" s="642"/>
      <c r="G210" s="643"/>
      <c r="H210" s="643"/>
      <c r="I210" s="643"/>
      <c r="J210" s="643"/>
      <c r="K210" s="646"/>
    </row>
    <row r="211" spans="1:11" ht="16.5">
      <c r="A211" s="682"/>
      <c r="B211" s="642"/>
      <c r="C211" s="641"/>
      <c r="D211" s="641"/>
      <c r="E211" s="641"/>
      <c r="F211" s="642"/>
      <c r="G211" s="643"/>
      <c r="H211" s="643"/>
      <c r="I211" s="643"/>
      <c r="J211" s="643"/>
      <c r="K211" s="646"/>
    </row>
    <row r="212" spans="1:11" ht="16.5">
      <c r="A212" s="682"/>
      <c r="B212" s="642"/>
      <c r="C212" s="641"/>
      <c r="D212" s="641"/>
      <c r="E212" s="641"/>
      <c r="F212" s="642"/>
      <c r="G212" s="643"/>
      <c r="H212" s="643"/>
      <c r="I212" s="643"/>
      <c r="J212" s="643"/>
      <c r="K212" s="646"/>
    </row>
    <row r="213" spans="1:11" ht="16.5">
      <c r="A213" s="682"/>
      <c r="B213" s="642"/>
      <c r="C213" s="641"/>
      <c r="D213" s="641"/>
      <c r="E213" s="641"/>
      <c r="F213" s="642"/>
      <c r="G213" s="643"/>
      <c r="H213" s="643"/>
      <c r="I213" s="643"/>
      <c r="J213" s="643"/>
      <c r="K213" s="646"/>
    </row>
    <row r="214" spans="1:11" ht="16.5">
      <c r="A214" s="682"/>
      <c r="B214" s="642"/>
      <c r="C214" s="641"/>
      <c r="D214" s="641"/>
      <c r="E214" s="641"/>
      <c r="F214" s="642"/>
      <c r="G214" s="643"/>
      <c r="H214" s="643"/>
      <c r="I214" s="643"/>
      <c r="J214" s="643"/>
      <c r="K214" s="646"/>
    </row>
    <row r="215" spans="1:11" ht="16.5">
      <c r="A215" s="682"/>
      <c r="B215" s="642"/>
      <c r="C215" s="641"/>
      <c r="D215" s="641"/>
      <c r="E215" s="641"/>
      <c r="F215" s="642"/>
      <c r="G215" s="643"/>
      <c r="H215" s="643"/>
      <c r="I215" s="643"/>
      <c r="J215" s="643"/>
      <c r="K215" s="646"/>
    </row>
    <row r="216" spans="1:11" ht="16.5">
      <c r="A216" s="682"/>
      <c r="B216" s="642"/>
      <c r="C216" s="641"/>
      <c r="D216" s="641"/>
      <c r="E216" s="641"/>
      <c r="F216" s="642"/>
      <c r="G216" s="643"/>
      <c r="H216" s="643"/>
      <c r="I216" s="643"/>
      <c r="J216" s="643"/>
      <c r="K216" s="646"/>
    </row>
    <row r="217" spans="1:11" ht="16.5">
      <c r="A217" s="682"/>
      <c r="B217" s="642"/>
      <c r="C217" s="641"/>
      <c r="D217" s="641"/>
      <c r="E217" s="641"/>
      <c r="F217" s="642"/>
      <c r="G217" s="643"/>
      <c r="H217" s="643"/>
      <c r="I217" s="643"/>
      <c r="J217" s="643"/>
      <c r="K217" s="646"/>
    </row>
    <row r="218" spans="1:11" ht="16.5">
      <c r="A218" s="682"/>
      <c r="B218" s="642"/>
      <c r="C218" s="641"/>
      <c r="D218" s="641"/>
      <c r="E218" s="641"/>
      <c r="F218" s="642"/>
      <c r="G218" s="643"/>
      <c r="H218" s="643"/>
      <c r="I218" s="643"/>
      <c r="J218" s="643"/>
      <c r="K218" s="646"/>
    </row>
    <row r="219" spans="1:11" ht="16.5">
      <c r="A219" s="682"/>
      <c r="B219" s="642"/>
      <c r="C219" s="641"/>
      <c r="D219" s="641"/>
      <c r="E219" s="641"/>
      <c r="F219" s="642"/>
      <c r="G219" s="643"/>
      <c r="H219" s="643"/>
      <c r="I219" s="643"/>
      <c r="J219" s="643"/>
      <c r="K219" s="646"/>
    </row>
    <row r="220" spans="1:11" ht="16.5">
      <c r="A220" s="682"/>
      <c r="B220" s="642"/>
      <c r="C220" s="641"/>
      <c r="D220" s="641"/>
      <c r="E220" s="641"/>
      <c r="F220" s="642"/>
      <c r="G220" s="643"/>
      <c r="H220" s="643"/>
      <c r="I220" s="643"/>
      <c r="J220" s="643"/>
      <c r="K220" s="646"/>
    </row>
    <row r="221" spans="1:11" ht="16.5">
      <c r="A221" s="682"/>
      <c r="B221" s="642"/>
      <c r="C221" s="641"/>
      <c r="D221" s="641"/>
      <c r="E221" s="641"/>
      <c r="F221" s="642"/>
      <c r="G221" s="643"/>
      <c r="H221" s="643"/>
      <c r="I221" s="643"/>
      <c r="J221" s="643"/>
      <c r="K221" s="646"/>
    </row>
    <row r="222" spans="1:11" ht="16.5">
      <c r="A222" s="682"/>
      <c r="B222" s="642"/>
      <c r="C222" s="641"/>
      <c r="D222" s="641"/>
      <c r="E222" s="641"/>
      <c r="F222" s="642"/>
      <c r="G222" s="643"/>
      <c r="H222" s="643"/>
      <c r="I222" s="643"/>
      <c r="J222" s="643"/>
      <c r="K222" s="646"/>
    </row>
    <row r="223" spans="1:11" ht="16.5">
      <c r="A223" s="682"/>
      <c r="B223" s="642"/>
      <c r="C223" s="641"/>
      <c r="D223" s="641"/>
      <c r="E223" s="641"/>
      <c r="F223" s="642"/>
      <c r="G223" s="643"/>
      <c r="H223" s="643"/>
      <c r="I223" s="643"/>
      <c r="J223" s="643"/>
      <c r="K223" s="646"/>
    </row>
    <row r="224" spans="1:11" ht="16.5">
      <c r="A224" s="682"/>
      <c r="B224" s="642"/>
      <c r="C224" s="641"/>
      <c r="D224" s="641"/>
      <c r="E224" s="641"/>
      <c r="F224" s="642"/>
      <c r="G224" s="643"/>
      <c r="H224" s="643"/>
      <c r="I224" s="643"/>
      <c r="J224" s="643"/>
      <c r="K224" s="646"/>
    </row>
    <row r="225" spans="1:11" ht="16.5">
      <c r="A225" s="682"/>
      <c r="B225" s="642"/>
      <c r="C225" s="641"/>
      <c r="D225" s="641"/>
      <c r="E225" s="641"/>
      <c r="F225" s="642"/>
      <c r="G225" s="643"/>
      <c r="H225" s="643"/>
      <c r="I225" s="643"/>
      <c r="J225" s="643"/>
      <c r="K225" s="646"/>
    </row>
    <row r="226" spans="1:11" ht="16.5">
      <c r="A226" s="682"/>
      <c r="B226" s="642"/>
      <c r="C226" s="641"/>
      <c r="D226" s="641"/>
      <c r="E226" s="641"/>
      <c r="F226" s="642"/>
      <c r="G226" s="643"/>
      <c r="H226" s="643"/>
      <c r="I226" s="643"/>
      <c r="J226" s="643"/>
      <c r="K226" s="646"/>
    </row>
    <row r="227" spans="1:11" ht="16.5">
      <c r="A227" s="682"/>
      <c r="B227" s="642"/>
      <c r="C227" s="641"/>
      <c r="D227" s="641"/>
      <c r="E227" s="641"/>
      <c r="F227" s="642"/>
      <c r="G227" s="643"/>
      <c r="H227" s="643"/>
      <c r="I227" s="643"/>
      <c r="J227" s="643"/>
      <c r="K227" s="646"/>
    </row>
    <row r="228" spans="1:11" ht="16.5">
      <c r="A228" s="682"/>
      <c r="B228" s="642"/>
      <c r="C228" s="641"/>
      <c r="D228" s="641"/>
      <c r="E228" s="641"/>
      <c r="F228" s="642"/>
      <c r="G228" s="643"/>
      <c r="H228" s="643"/>
      <c r="I228" s="643"/>
      <c r="J228" s="643"/>
      <c r="K228" s="646"/>
    </row>
    <row r="229" spans="1:11" ht="16.5">
      <c r="A229" s="682"/>
      <c r="B229" s="642"/>
      <c r="C229" s="641"/>
      <c r="D229" s="641"/>
      <c r="E229" s="641"/>
      <c r="F229" s="642"/>
      <c r="G229" s="643"/>
      <c r="H229" s="643"/>
      <c r="I229" s="643"/>
      <c r="J229" s="643"/>
      <c r="K229" s="646"/>
    </row>
    <row r="230" spans="1:11" ht="16.5">
      <c r="A230" s="682"/>
      <c r="B230" s="642"/>
      <c r="C230" s="641"/>
      <c r="D230" s="641"/>
      <c r="E230" s="641"/>
      <c r="F230" s="642"/>
      <c r="G230" s="643"/>
      <c r="H230" s="643"/>
      <c r="I230" s="643"/>
      <c r="J230" s="643"/>
      <c r="K230" s="646"/>
    </row>
    <row r="231" spans="1:11" ht="16.5">
      <c r="A231" s="682"/>
      <c r="B231" s="642"/>
      <c r="C231" s="641"/>
      <c r="D231" s="641"/>
      <c r="E231" s="641"/>
      <c r="F231" s="642"/>
      <c r="G231" s="643"/>
      <c r="H231" s="643"/>
      <c r="I231" s="643"/>
      <c r="J231" s="643"/>
      <c r="K231" s="646"/>
    </row>
    <row r="232" spans="1:11" ht="16.5">
      <c r="A232" s="682"/>
      <c r="B232" s="642"/>
      <c r="C232" s="641"/>
      <c r="D232" s="641"/>
      <c r="E232" s="641"/>
      <c r="F232" s="642"/>
      <c r="G232" s="643"/>
      <c r="H232" s="643"/>
      <c r="I232" s="643"/>
      <c r="J232" s="643"/>
      <c r="K232" s="646"/>
    </row>
    <row r="233" spans="1:11" ht="16.5">
      <c r="A233" s="682"/>
      <c r="B233" s="642"/>
      <c r="C233" s="641"/>
      <c r="D233" s="641"/>
      <c r="E233" s="641"/>
      <c r="F233" s="642"/>
      <c r="G233" s="643"/>
      <c r="H233" s="643"/>
      <c r="I233" s="643"/>
      <c r="J233" s="643"/>
      <c r="K233" s="646"/>
    </row>
    <row r="234" spans="1:11" ht="16.5">
      <c r="A234" s="682"/>
      <c r="B234" s="642"/>
      <c r="C234" s="641"/>
      <c r="D234" s="641"/>
      <c r="E234" s="641"/>
      <c r="F234" s="642"/>
      <c r="G234" s="643"/>
      <c r="H234" s="643"/>
      <c r="I234" s="643"/>
      <c r="J234" s="643"/>
      <c r="K234" s="646"/>
    </row>
    <row r="235" spans="1:11" ht="16.5">
      <c r="A235" s="682"/>
      <c r="B235" s="642"/>
      <c r="C235" s="641"/>
      <c r="D235" s="641"/>
      <c r="E235" s="641"/>
      <c r="F235" s="642"/>
      <c r="G235" s="643"/>
      <c r="H235" s="643"/>
      <c r="I235" s="643"/>
      <c r="J235" s="643"/>
      <c r="K235" s="646"/>
    </row>
    <row r="236" spans="1:11" ht="16.5">
      <c r="A236" s="682"/>
      <c r="B236" s="642"/>
      <c r="C236" s="641"/>
      <c r="D236" s="641"/>
      <c r="E236" s="641"/>
      <c r="F236" s="642"/>
      <c r="G236" s="643"/>
      <c r="H236" s="643"/>
      <c r="I236" s="643"/>
      <c r="J236" s="643"/>
      <c r="K236" s="646"/>
    </row>
    <row r="237" spans="1:11" ht="16.5">
      <c r="A237" s="682"/>
      <c r="B237" s="642"/>
      <c r="C237" s="641"/>
      <c r="D237" s="641"/>
      <c r="E237" s="641"/>
      <c r="F237" s="642"/>
      <c r="G237" s="643"/>
      <c r="H237" s="643"/>
      <c r="I237" s="643"/>
      <c r="J237" s="643"/>
      <c r="K237" s="646"/>
    </row>
    <row r="238" spans="1:11" ht="16.5">
      <c r="A238" s="682"/>
      <c r="B238" s="642"/>
      <c r="C238" s="641"/>
      <c r="D238" s="641"/>
      <c r="E238" s="641"/>
      <c r="F238" s="642"/>
      <c r="G238" s="643"/>
      <c r="H238" s="643"/>
      <c r="I238" s="643"/>
      <c r="J238" s="643"/>
      <c r="K238" s="646"/>
    </row>
    <row r="239" spans="1:11" ht="16.5">
      <c r="A239" s="682"/>
      <c r="B239" s="642"/>
      <c r="C239" s="641"/>
      <c r="D239" s="641"/>
      <c r="E239" s="641"/>
      <c r="F239" s="642"/>
      <c r="G239" s="643"/>
      <c r="H239" s="643"/>
      <c r="I239" s="643"/>
      <c r="J239" s="643"/>
      <c r="K239" s="646"/>
    </row>
    <row r="240" spans="1:11" ht="16.5">
      <c r="A240" s="682"/>
      <c r="B240" s="642"/>
      <c r="C240" s="641"/>
      <c r="D240" s="641"/>
      <c r="E240" s="641"/>
      <c r="F240" s="642"/>
      <c r="G240" s="643"/>
      <c r="H240" s="643"/>
      <c r="I240" s="643"/>
      <c r="J240" s="643"/>
      <c r="K240" s="646"/>
    </row>
    <row r="241" spans="1:11" ht="16.5">
      <c r="A241" s="682"/>
      <c r="B241" s="642"/>
      <c r="C241" s="641"/>
      <c r="D241" s="641"/>
      <c r="E241" s="641"/>
      <c r="F241" s="642"/>
      <c r="G241" s="643"/>
      <c r="H241" s="643"/>
      <c r="I241" s="643"/>
      <c r="J241" s="643"/>
      <c r="K241" s="646"/>
    </row>
    <row r="242" spans="1:11" ht="16.5">
      <c r="A242" s="682"/>
      <c r="B242" s="642"/>
      <c r="C242" s="641"/>
      <c r="D242" s="641"/>
      <c r="E242" s="641"/>
      <c r="F242" s="642"/>
      <c r="G242" s="643"/>
      <c r="H242" s="643"/>
      <c r="I242" s="643"/>
      <c r="J242" s="643"/>
      <c r="K242" s="646"/>
    </row>
    <row r="243" spans="1:11" ht="16.5">
      <c r="A243" s="682"/>
      <c r="B243" s="642"/>
      <c r="C243" s="641"/>
      <c r="D243" s="641"/>
      <c r="E243" s="641"/>
      <c r="F243" s="642"/>
      <c r="G243" s="643"/>
      <c r="H243" s="643"/>
      <c r="I243" s="643"/>
      <c r="J243" s="643"/>
      <c r="K243" s="646"/>
    </row>
    <row r="244" spans="1:11" ht="16.5">
      <c r="A244" s="682"/>
      <c r="B244" s="642"/>
      <c r="C244" s="641"/>
      <c r="D244" s="641"/>
      <c r="E244" s="641"/>
      <c r="F244" s="642"/>
      <c r="G244" s="643"/>
      <c r="H244" s="643"/>
      <c r="I244" s="643"/>
      <c r="J244" s="643"/>
      <c r="K244" s="646"/>
    </row>
    <row r="245" spans="1:11" ht="16.5">
      <c r="A245" s="682"/>
      <c r="B245" s="642"/>
      <c r="C245" s="641"/>
      <c r="D245" s="641"/>
      <c r="E245" s="641"/>
      <c r="F245" s="642"/>
      <c r="G245" s="643"/>
      <c r="H245" s="643"/>
      <c r="I245" s="643"/>
      <c r="J245" s="643"/>
      <c r="K245" s="646"/>
    </row>
    <row r="246" spans="1:11" ht="16.5">
      <c r="A246" s="682"/>
      <c r="B246" s="642"/>
      <c r="C246" s="641"/>
      <c r="D246" s="641"/>
      <c r="E246" s="641"/>
      <c r="F246" s="642"/>
      <c r="G246" s="643"/>
      <c r="H246" s="643"/>
      <c r="I246" s="643"/>
      <c r="J246" s="643"/>
      <c r="K246" s="646"/>
    </row>
    <row r="247" spans="1:11" ht="16.5">
      <c r="A247" s="682"/>
      <c r="B247" s="642"/>
      <c r="C247" s="641"/>
      <c r="D247" s="641"/>
      <c r="E247" s="641"/>
      <c r="F247" s="642"/>
      <c r="G247" s="643"/>
      <c r="H247" s="643"/>
      <c r="I247" s="643"/>
      <c r="J247" s="643"/>
      <c r="K247" s="646"/>
    </row>
    <row r="248" spans="1:11" ht="16.5">
      <c r="A248" s="682"/>
      <c r="B248" s="642"/>
      <c r="C248" s="641"/>
      <c r="D248" s="641"/>
      <c r="E248" s="641"/>
      <c r="F248" s="642"/>
      <c r="G248" s="643"/>
      <c r="H248" s="643"/>
      <c r="I248" s="643"/>
      <c r="J248" s="643"/>
      <c r="K248" s="646"/>
    </row>
    <row r="249" spans="1:11" ht="16.5">
      <c r="A249" s="682"/>
      <c r="B249" s="642"/>
      <c r="C249" s="641"/>
      <c r="D249" s="641"/>
      <c r="E249" s="641"/>
      <c r="F249" s="642"/>
      <c r="G249" s="643"/>
      <c r="H249" s="643"/>
      <c r="I249" s="643"/>
      <c r="J249" s="643"/>
      <c r="K249" s="646"/>
    </row>
    <row r="250" spans="1:11" ht="16.5">
      <c r="A250" s="682"/>
      <c r="B250" s="642"/>
      <c r="C250" s="641"/>
      <c r="D250" s="641"/>
      <c r="E250" s="641"/>
      <c r="F250" s="642"/>
      <c r="G250" s="643"/>
      <c r="H250" s="643"/>
      <c r="I250" s="643"/>
      <c r="J250" s="643"/>
      <c r="K250" s="646"/>
    </row>
    <row r="251" spans="1:11" ht="16.5">
      <c r="A251" s="682"/>
      <c r="B251" s="642"/>
      <c r="C251" s="641"/>
      <c r="D251" s="641"/>
      <c r="E251" s="641"/>
      <c r="F251" s="642"/>
      <c r="G251" s="643"/>
      <c r="H251" s="643"/>
      <c r="I251" s="643"/>
      <c r="J251" s="643"/>
      <c r="K251" s="646"/>
    </row>
  </sheetData>
  <sheetProtection/>
  <mergeCells count="6">
    <mergeCell ref="R18:T19"/>
    <mergeCell ref="K5:M5"/>
    <mergeCell ref="B61:D61"/>
    <mergeCell ref="I1:J1"/>
    <mergeCell ref="B2:J2"/>
    <mergeCell ref="A3:J3"/>
  </mergeCells>
  <printOptions/>
  <pageMargins left="0.75" right="0.43" top="0.63" bottom="0.66" header="0.33" footer="0.34"/>
  <pageSetup horizontalDpi="600" verticalDpi="600" orientation="landscape" paperSize="9" r:id="rId1"/>
  <headerFooter alignWithMargins="0">
    <oddFooter>&amp;R&amp;P/&amp;N</oddFooter>
  </headerFooter>
</worksheet>
</file>

<file path=xl/worksheets/sheet14.xml><?xml version="1.0" encoding="utf-8"?>
<worksheet xmlns="http://schemas.openxmlformats.org/spreadsheetml/2006/main" xmlns:r="http://schemas.openxmlformats.org/officeDocument/2006/relationships">
  <dimension ref="A1:S246"/>
  <sheetViews>
    <sheetView zoomScale="85" zoomScaleNormal="85" zoomScaleSheetLayoutView="85" zoomScalePageLayoutView="0" workbookViewId="0" topLeftCell="A8">
      <selection activeCell="J8" sqref="J8"/>
    </sheetView>
  </sheetViews>
  <sheetFormatPr defaultColWidth="9.140625" defaultRowHeight="12.75"/>
  <cols>
    <col min="1" max="1" width="6.421875" style="1254" customWidth="1"/>
    <col min="2" max="2" width="37.140625" style="1255" customWidth="1"/>
    <col min="3" max="3" width="9.8515625" style="1256" customWidth="1"/>
    <col min="4" max="4" width="11.7109375" style="1254" customWidth="1"/>
    <col min="5" max="5" width="10.421875" style="939" customWidth="1"/>
    <col min="6" max="6" width="10.7109375" style="939" customWidth="1"/>
    <col min="7" max="7" width="10.57421875" style="939" customWidth="1"/>
    <col min="8" max="8" width="11.8515625" style="939" customWidth="1"/>
    <col min="9" max="9" width="11.00390625" style="939" customWidth="1"/>
    <col min="10" max="10" width="12.140625" style="939" customWidth="1"/>
    <col min="11" max="11" width="15.421875" style="939" customWidth="1"/>
    <col min="12" max="12" width="8.421875" style="939" customWidth="1"/>
    <col min="13" max="13" width="15.8515625" style="939" customWidth="1"/>
    <col min="14" max="14" width="9.140625" style="939" customWidth="1"/>
    <col min="15" max="15" width="12.00390625" style="939" customWidth="1"/>
    <col min="16" max="16" width="9.140625" style="939" customWidth="1"/>
    <col min="17" max="17" width="10.7109375" style="939" customWidth="1"/>
    <col min="18" max="16384" width="9.140625" style="939" customWidth="1"/>
  </cols>
  <sheetData>
    <row r="1" spans="1:11" ht="30.75" customHeight="1">
      <c r="A1" s="635"/>
      <c r="B1" s="781" t="s">
        <v>375</v>
      </c>
      <c r="C1" s="727"/>
      <c r="D1" s="727"/>
      <c r="E1" s="728"/>
      <c r="F1" s="728"/>
      <c r="G1" s="1056"/>
      <c r="H1" s="1057" t="s">
        <v>357</v>
      </c>
      <c r="I1" s="1222"/>
      <c r="J1" s="1339" t="s">
        <v>358</v>
      </c>
      <c r="K1" s="1339"/>
    </row>
    <row r="2" spans="1:11" ht="33" customHeight="1">
      <c r="A2" s="939"/>
      <c r="B2" s="1223"/>
      <c r="C2" s="1224"/>
      <c r="D2" s="1224"/>
      <c r="E2" s="1224"/>
      <c r="F2" s="1224"/>
      <c r="G2" s="1224"/>
      <c r="H2" s="1224"/>
      <c r="I2" s="1224"/>
      <c r="J2" s="1224" t="s">
        <v>463</v>
      </c>
      <c r="K2" s="1224"/>
    </row>
    <row r="3" spans="1:11" ht="30.75" customHeight="1">
      <c r="A3" s="1338" t="s">
        <v>708</v>
      </c>
      <c r="B3" s="1338"/>
      <c r="C3" s="1338"/>
      <c r="D3" s="1338"/>
      <c r="E3" s="1338"/>
      <c r="F3" s="1338"/>
      <c r="G3" s="1338"/>
      <c r="H3" s="1338"/>
      <c r="I3" s="1338"/>
      <c r="J3" s="1338"/>
      <c r="K3" s="1338"/>
    </row>
    <row r="4" spans="1:15" s="1226" customFormat="1" ht="78.75" customHeight="1">
      <c r="A4" s="1225" t="s">
        <v>0</v>
      </c>
      <c r="B4" s="1225" t="s">
        <v>287</v>
      </c>
      <c r="C4" s="1225" t="s">
        <v>184</v>
      </c>
      <c r="D4" s="1225" t="s">
        <v>297</v>
      </c>
      <c r="E4" s="1225" t="s">
        <v>298</v>
      </c>
      <c r="F4" s="1225" t="s">
        <v>299</v>
      </c>
      <c r="G4" s="1225" t="s">
        <v>300</v>
      </c>
      <c r="H4" s="1225" t="s">
        <v>799</v>
      </c>
      <c r="I4" s="1225" t="s">
        <v>301</v>
      </c>
      <c r="J4" s="1225" t="s">
        <v>302</v>
      </c>
      <c r="K4" s="1225" t="s">
        <v>719</v>
      </c>
      <c r="M4" s="1226">
        <v>116</v>
      </c>
      <c r="N4" s="1226">
        <v>130</v>
      </c>
      <c r="O4" s="1226">
        <f>I5/P5</f>
        <v>2.988910476190476</v>
      </c>
    </row>
    <row r="5" spans="1:17" s="1227" customFormat="1" ht="31.5" customHeight="1">
      <c r="A5" s="1167" t="s">
        <v>3</v>
      </c>
      <c r="B5" s="1168" t="s">
        <v>346</v>
      </c>
      <c r="C5" s="1169"/>
      <c r="D5" s="1170">
        <v>24632.85</v>
      </c>
      <c r="E5" s="1171">
        <v>5985.24235</v>
      </c>
      <c r="F5" s="1171">
        <v>8375.71858</v>
      </c>
      <c r="G5" s="1171">
        <v>8194.17500177</v>
      </c>
      <c r="H5" s="1171">
        <v>8541.777805337</v>
      </c>
      <c r="I5" s="1171">
        <v>7242.36</v>
      </c>
      <c r="J5" s="1172">
        <f>SUM(E5:I5)</f>
        <v>38339.273737107</v>
      </c>
      <c r="K5" s="1173" t="s">
        <v>36</v>
      </c>
      <c r="M5" s="1227">
        <f>8449412/1000</f>
        <v>8449.412</v>
      </c>
      <c r="N5" s="1227">
        <f>M4/N4*100</f>
        <v>89.23076923076924</v>
      </c>
      <c r="O5" s="1214">
        <v>6300</v>
      </c>
      <c r="P5" s="1227">
        <f>O5/2.6</f>
        <v>2423.076923076923</v>
      </c>
      <c r="Q5" s="1227">
        <f>I7/Q6</f>
        <v>2.7977446808510638</v>
      </c>
    </row>
    <row r="6" spans="1:18" s="1228" customFormat="1" ht="31.5" customHeight="1">
      <c r="A6" s="1174"/>
      <c r="B6" s="1175" t="s">
        <v>304</v>
      </c>
      <c r="C6" s="1176" t="s">
        <v>5</v>
      </c>
      <c r="D6" s="1177"/>
      <c r="E6" s="1178"/>
      <c r="F6" s="1179">
        <f>F7/E7</f>
        <v>1.1970430186225791</v>
      </c>
      <c r="G6" s="1179">
        <f>G7/F7</f>
        <v>1.1892301740582913</v>
      </c>
      <c r="H6" s="1179">
        <f>H7/G7</f>
        <v>1.230525100746455</v>
      </c>
      <c r="I6" s="1179">
        <f>I7/H7</f>
        <v>1.1562738587846957</v>
      </c>
      <c r="J6" s="1217"/>
      <c r="K6" s="1178"/>
      <c r="L6" s="1228">
        <v>850.5</v>
      </c>
      <c r="M6" s="1228">
        <f>L6/L7</f>
        <v>1.9307604994324632</v>
      </c>
      <c r="Q6" s="1228">
        <f>705/2.58</f>
        <v>273.25581395348837</v>
      </c>
      <c r="R6" s="1228">
        <f>Q7/L7</f>
        <v>1.8727400681044268</v>
      </c>
    </row>
    <row r="7" spans="1:19" ht="38.25" customHeight="1">
      <c r="A7" s="936">
        <v>1</v>
      </c>
      <c r="B7" s="1184" t="s">
        <v>343</v>
      </c>
      <c r="C7" s="1176" t="s">
        <v>359</v>
      </c>
      <c r="D7" s="1185">
        <v>1876.55</v>
      </c>
      <c r="E7" s="1204">
        <v>377.44235</v>
      </c>
      <c r="F7" s="1204">
        <v>451.81473</v>
      </c>
      <c r="G7" s="1204">
        <v>537.31171</v>
      </c>
      <c r="H7" s="1204">
        <v>661.17554608</v>
      </c>
      <c r="I7" s="1204">
        <v>764.5</v>
      </c>
      <c r="J7" s="1186">
        <f>SUM(E7:I7)</f>
        <v>2792.24433608</v>
      </c>
      <c r="K7" s="1186" t="s">
        <v>36</v>
      </c>
      <c r="L7" s="1229">
        <v>440.5</v>
      </c>
      <c r="M7" s="1229">
        <f>E7+E11+E13+E15</f>
        <v>474.08633</v>
      </c>
      <c r="N7" s="1229">
        <f>F7+F11+F13+F15</f>
        <v>763.28366</v>
      </c>
      <c r="O7" s="1229">
        <f>G7+G11+G13+G15</f>
        <v>954.62482</v>
      </c>
      <c r="P7" s="1229">
        <f>H7+H11+H13+H15</f>
        <v>787.402777701</v>
      </c>
      <c r="Q7" s="1230">
        <f>I7+I11+I13+I15</f>
        <v>824.942</v>
      </c>
      <c r="R7" s="1230">
        <f>(Q7/L7)^(1/5)*100-100</f>
        <v>13.369309244355847</v>
      </c>
      <c r="S7" s="1229"/>
    </row>
    <row r="8" spans="1:19" s="1232" customFormat="1" ht="38.25" customHeight="1">
      <c r="A8" s="1180"/>
      <c r="B8" s="1175" t="s">
        <v>382</v>
      </c>
      <c r="C8" s="1181" t="s">
        <v>5</v>
      </c>
      <c r="D8" s="1177"/>
      <c r="E8" s="1182">
        <f aca="true" t="shared" si="0" ref="E8:J8">E7/E5</f>
        <v>0.06306216656373154</v>
      </c>
      <c r="F8" s="1182">
        <f t="shared" si="0"/>
        <v>0.0539433990868399</v>
      </c>
      <c r="G8" s="1182">
        <f t="shared" si="0"/>
        <v>0.06557239867148759</v>
      </c>
      <c r="H8" s="1182">
        <f t="shared" si="0"/>
        <v>0.0774049104469669</v>
      </c>
      <c r="I8" s="1182">
        <f t="shared" si="0"/>
        <v>0.10555951374966172</v>
      </c>
      <c r="J8" s="1182">
        <f>J7/J5</f>
        <v>0.07282987036286766</v>
      </c>
      <c r="K8" s="1183"/>
      <c r="L8" s="1231"/>
      <c r="M8" s="1231">
        <f>M7/L7</f>
        <v>1.0762459250851304</v>
      </c>
      <c r="N8" s="1231">
        <f>N7/M7</f>
        <v>1.6100098477844744</v>
      </c>
      <c r="O8" s="1231">
        <f>O7/N7</f>
        <v>1.2506815880219417</v>
      </c>
      <c r="P8" s="1231">
        <f>P7/O7</f>
        <v>0.8248295678096867</v>
      </c>
      <c r="Q8" s="1231">
        <f>Q7/P7</f>
        <v>1.047674739487971</v>
      </c>
      <c r="R8" s="1231"/>
      <c r="S8" s="1257">
        <f>Q7/L7</f>
        <v>1.8727400681044268</v>
      </c>
    </row>
    <row r="9" spans="1:19" ht="38.25" customHeight="1">
      <c r="A9" s="936">
        <v>2</v>
      </c>
      <c r="B9" s="1184" t="s">
        <v>344</v>
      </c>
      <c r="C9" s="1176" t="s">
        <v>359</v>
      </c>
      <c r="D9" s="1185"/>
      <c r="E9" s="1186"/>
      <c r="F9" s="1187"/>
      <c r="G9" s="1187"/>
      <c r="H9" s="1186"/>
      <c r="I9" s="1186"/>
      <c r="J9" s="1186">
        <f>SUM(E9:I9)</f>
        <v>0</v>
      </c>
      <c r="K9" s="1186"/>
      <c r="L9" s="1229">
        <v>273.5</v>
      </c>
      <c r="M9" s="1230">
        <f>I7/L9</f>
        <v>2.7952468007312614</v>
      </c>
      <c r="N9" s="1229"/>
      <c r="O9" s="1229"/>
      <c r="P9" s="1229"/>
      <c r="Q9" s="1259">
        <f>(M8*N8*O8*P8*Q8)^(1/5)</f>
        <v>1.1336930924435584</v>
      </c>
      <c r="R9" s="1229"/>
      <c r="S9" s="1229"/>
    </row>
    <row r="10" spans="1:19" s="1232" customFormat="1" ht="38.25" customHeight="1">
      <c r="A10" s="1180"/>
      <c r="B10" s="1175" t="s">
        <v>383</v>
      </c>
      <c r="C10" s="1176" t="s">
        <v>5</v>
      </c>
      <c r="D10" s="1177"/>
      <c r="E10" s="1183"/>
      <c r="F10" s="1188"/>
      <c r="G10" s="1188"/>
      <c r="H10" s="1183"/>
      <c r="I10" s="1183"/>
      <c r="J10" s="1183"/>
      <c r="K10" s="1186"/>
      <c r="L10" s="1231"/>
      <c r="M10" s="1233">
        <f>I7/M5</f>
        <v>0.09047966888110083</v>
      </c>
      <c r="N10" s="1231"/>
      <c r="O10" s="1231"/>
      <c r="P10" s="1231"/>
      <c r="Q10" s="1233">
        <f>Q7/I17</f>
        <v>0.11894579223106809</v>
      </c>
      <c r="R10" s="1231"/>
      <c r="S10" s="1231"/>
    </row>
    <row r="11" spans="1:19" ht="38.25" customHeight="1">
      <c r="A11" s="936">
        <v>3</v>
      </c>
      <c r="B11" s="1184" t="s">
        <v>345</v>
      </c>
      <c r="C11" s="1176" t="s">
        <v>359</v>
      </c>
      <c r="D11" s="1185"/>
      <c r="E11" s="1205">
        <v>6.8230900000000005</v>
      </c>
      <c r="F11" s="1205">
        <v>14.261719999999999</v>
      </c>
      <c r="G11" s="1205">
        <v>16.27813</v>
      </c>
      <c r="H11" s="1205">
        <v>24.441521467</v>
      </c>
      <c r="I11" s="1205">
        <v>32</v>
      </c>
      <c r="J11" s="1186">
        <f>SUM(E11:I11)</f>
        <v>93.804461467</v>
      </c>
      <c r="K11" s="1186"/>
      <c r="L11" s="1229"/>
      <c r="M11" s="1234">
        <f>F7/E7</f>
        <v>1.1970430186225791</v>
      </c>
      <c r="N11" s="1234">
        <f>G7/F7</f>
        <v>1.1892301740582913</v>
      </c>
      <c r="O11" s="1234">
        <f>H7/G7</f>
        <v>1.230525100746455</v>
      </c>
      <c r="P11" s="1234">
        <f>I7/H7</f>
        <v>1.1562738587846957</v>
      </c>
      <c r="Q11" s="1229"/>
      <c r="R11" s="1229"/>
      <c r="S11" s="1229"/>
    </row>
    <row r="12" spans="1:19" s="1232" customFormat="1" ht="38.25" customHeight="1">
      <c r="A12" s="1180"/>
      <c r="B12" s="1175" t="s">
        <v>384</v>
      </c>
      <c r="C12" s="1176" t="s">
        <v>5</v>
      </c>
      <c r="D12" s="1189"/>
      <c r="E12" s="1182">
        <f aca="true" t="shared" si="1" ref="E12:J12">E11/E5</f>
        <v>0.001139985584710701</v>
      </c>
      <c r="F12" s="1182">
        <f t="shared" si="1"/>
        <v>0.001702745843688554</v>
      </c>
      <c r="G12" s="1182">
        <f t="shared" si="1"/>
        <v>0.0019865489810119764</v>
      </c>
      <c r="H12" s="1182">
        <f t="shared" si="1"/>
        <v>0.0028614091848337075</v>
      </c>
      <c r="I12" s="1182">
        <f t="shared" si="1"/>
        <v>0.004418449234779824</v>
      </c>
      <c r="J12" s="1182">
        <f t="shared" si="1"/>
        <v>0.002446693750909802</v>
      </c>
      <c r="K12" s="1186"/>
      <c r="L12" s="1231"/>
      <c r="M12" s="1233">
        <f>768/M5</f>
        <v>0.09089389888905879</v>
      </c>
      <c r="N12" s="1231"/>
      <c r="O12" s="1231"/>
      <c r="P12" s="1231"/>
      <c r="Q12" s="1231"/>
      <c r="R12" s="1231"/>
      <c r="S12" s="1231"/>
    </row>
    <row r="13" spans="1:19" ht="38.25" customHeight="1">
      <c r="A13" s="936">
        <v>4</v>
      </c>
      <c r="B13" s="1184" t="s">
        <v>802</v>
      </c>
      <c r="C13" s="1176" t="s">
        <v>359</v>
      </c>
      <c r="D13" s="1197"/>
      <c r="E13" s="1205">
        <v>1.9208900000000002</v>
      </c>
      <c r="F13" s="1205">
        <v>25.807209999999998</v>
      </c>
      <c r="G13" s="1205">
        <v>8.22998</v>
      </c>
      <c r="H13" s="1205">
        <v>7.07191</v>
      </c>
      <c r="I13" s="1205"/>
      <c r="J13" s="1186">
        <f>SUM(E13:I13)</f>
        <v>43.02999</v>
      </c>
      <c r="K13" s="1206"/>
      <c r="L13" s="1229"/>
      <c r="M13" s="1260">
        <v>7242</v>
      </c>
      <c r="N13" s="1229"/>
      <c r="O13" s="1258">
        <f>764.5/11495</f>
        <v>0.06650717703349282</v>
      </c>
      <c r="P13" s="1229"/>
      <c r="Q13" s="1229"/>
      <c r="R13" s="1229"/>
      <c r="S13" s="1229"/>
    </row>
    <row r="14" spans="1:19" s="1232" customFormat="1" ht="38.25" customHeight="1">
      <c r="A14" s="1180"/>
      <c r="B14" s="1175" t="s">
        <v>385</v>
      </c>
      <c r="C14" s="1176" t="s">
        <v>5</v>
      </c>
      <c r="D14" s="1189"/>
      <c r="E14" s="1182">
        <f aca="true" t="shared" si="2" ref="E14:J14">E13/E5</f>
        <v>0.0003209377144101776</v>
      </c>
      <c r="F14" s="1182">
        <f t="shared" si="2"/>
        <v>0.003081193542202321</v>
      </c>
      <c r="G14" s="1182">
        <f t="shared" si="2"/>
        <v>0.0010043695671891637</v>
      </c>
      <c r="H14" s="1182">
        <f t="shared" si="2"/>
        <v>0.0008279201544649627</v>
      </c>
      <c r="I14" s="1182">
        <f t="shared" si="2"/>
        <v>0</v>
      </c>
      <c r="J14" s="1182">
        <f t="shared" si="2"/>
        <v>0.0011223475513661867</v>
      </c>
      <c r="K14" s="1186"/>
      <c r="L14" s="1231"/>
      <c r="M14" s="1231">
        <v>2422.184300341297</v>
      </c>
      <c r="N14" s="1231"/>
      <c r="O14" s="1231"/>
      <c r="P14" s="1231"/>
      <c r="Q14" s="1231"/>
      <c r="R14" s="1231"/>
      <c r="S14" s="1231"/>
    </row>
    <row r="15" spans="1:19" ht="29.25" customHeight="1">
      <c r="A15" s="936">
        <v>5</v>
      </c>
      <c r="B15" s="1184" t="s">
        <v>731</v>
      </c>
      <c r="C15" s="1207" t="s">
        <v>359</v>
      </c>
      <c r="D15" s="1197"/>
      <c r="E15" s="1205">
        <v>87.9</v>
      </c>
      <c r="F15" s="1205">
        <v>271.4</v>
      </c>
      <c r="G15" s="1205">
        <v>392.805</v>
      </c>
      <c r="H15" s="1205">
        <v>94.713800154</v>
      </c>
      <c r="I15" s="1208">
        <v>28.442</v>
      </c>
      <c r="J15" s="1186"/>
      <c r="K15" s="1206"/>
      <c r="L15" s="1229"/>
      <c r="M15" s="1234">
        <f>M13/M14</f>
        <v>2.989863322530647</v>
      </c>
      <c r="N15" s="1229"/>
      <c r="O15" s="1229"/>
      <c r="P15" s="1229"/>
      <c r="Q15" s="1229"/>
      <c r="R15" s="1229"/>
      <c r="S15" s="1229"/>
    </row>
    <row r="16" spans="1:19" ht="29.25" customHeight="1" hidden="1">
      <c r="A16" s="936">
        <v>6</v>
      </c>
      <c r="B16" s="1184" t="s">
        <v>808</v>
      </c>
      <c r="C16" s="1207" t="s">
        <v>359</v>
      </c>
      <c r="D16" s="1197"/>
      <c r="E16" s="1205">
        <v>4567.58308</v>
      </c>
      <c r="F16" s="1205">
        <v>5967.28238</v>
      </c>
      <c r="G16" s="1205">
        <v>5794.729246117</v>
      </c>
      <c r="H16" s="1205">
        <v>6413.20367368</v>
      </c>
      <c r="I16" s="1208">
        <v>6348.964</v>
      </c>
      <c r="J16" s="1186"/>
      <c r="K16" s="1206"/>
      <c r="L16" s="1229"/>
      <c r="M16" s="1229"/>
      <c r="N16" s="1229"/>
      <c r="O16" s="1229"/>
      <c r="P16" s="1229"/>
      <c r="Q16" s="1229"/>
      <c r="R16" s="1229"/>
      <c r="S16" s="1229"/>
    </row>
    <row r="17" spans="1:13" s="1227" customFormat="1" ht="29.25" customHeight="1">
      <c r="A17" s="1167" t="s">
        <v>11</v>
      </c>
      <c r="B17" s="1168" t="s">
        <v>347</v>
      </c>
      <c r="C17" s="1169"/>
      <c r="D17" s="1190">
        <v>24632.85</v>
      </c>
      <c r="E17" s="1191">
        <v>5953.290129999999</v>
      </c>
      <c r="F17" s="1192">
        <v>8325.11865</v>
      </c>
      <c r="G17" s="1191">
        <v>8138.911024534001</v>
      </c>
      <c r="H17" s="1191">
        <v>8505.918485101</v>
      </c>
      <c r="I17" s="1193">
        <v>6935.445</v>
      </c>
      <c r="J17" s="1194">
        <f>SUM(E17:I17)</f>
        <v>37858.683289634995</v>
      </c>
      <c r="K17" s="1194" t="s">
        <v>36</v>
      </c>
      <c r="L17" s="1235"/>
      <c r="M17" s="1236"/>
    </row>
    <row r="18" spans="1:12" ht="30" customHeight="1">
      <c r="A18" s="936"/>
      <c r="B18" s="1195" t="s">
        <v>304</v>
      </c>
      <c r="C18" s="1176" t="s">
        <v>5</v>
      </c>
      <c r="D18" s="1182"/>
      <c r="E18" s="1182">
        <v>1.7257514117251453</v>
      </c>
      <c r="F18" s="1182">
        <f>F17/E17</f>
        <v>1.39840633804286</v>
      </c>
      <c r="G18" s="1182">
        <f>G17/F17</f>
        <v>0.9776330364413486</v>
      </c>
      <c r="H18" s="1182">
        <f>H17/G17</f>
        <v>1.0450929441863523</v>
      </c>
      <c r="I18" s="1182">
        <f>I17/H17</f>
        <v>0.8153669720851607</v>
      </c>
      <c r="J18" s="1186"/>
      <c r="K18" s="1186"/>
      <c r="L18" s="1229"/>
    </row>
    <row r="19" spans="1:11" s="1232" customFormat="1" ht="36.75" customHeight="1">
      <c r="A19" s="936">
        <v>1</v>
      </c>
      <c r="B19" s="1196" t="s">
        <v>392</v>
      </c>
      <c r="C19" s="1176" t="s">
        <v>359</v>
      </c>
      <c r="D19" s="1197">
        <v>16454.27</v>
      </c>
      <c r="E19" s="1198">
        <f>(3076897.77)/1000</f>
        <v>3076.89777</v>
      </c>
      <c r="F19" s="1198">
        <v>4609.552559999999</v>
      </c>
      <c r="G19" s="1198">
        <v>5116.436668106</v>
      </c>
      <c r="H19" s="1199">
        <v>5432.480665714</v>
      </c>
      <c r="I19" s="1199">
        <v>5577.69</v>
      </c>
      <c r="J19" s="1186">
        <f>SUM(E19:I19)</f>
        <v>23813.057663819996</v>
      </c>
      <c r="K19" s="1186" t="s">
        <v>36</v>
      </c>
    </row>
    <row r="20" spans="1:11" s="1232" customFormat="1" ht="36.75" customHeight="1">
      <c r="A20" s="936"/>
      <c r="B20" s="1175" t="s">
        <v>389</v>
      </c>
      <c r="C20" s="1176" t="s">
        <v>5</v>
      </c>
      <c r="D20" s="1189"/>
      <c r="E20" s="1182">
        <f aca="true" t="shared" si="3" ref="E20:J20">E19/E17</f>
        <v>0.5168398822853943</v>
      </c>
      <c r="F20" s="1182">
        <f t="shared" si="3"/>
        <v>0.553692115847502</v>
      </c>
      <c r="G20" s="1182">
        <f t="shared" si="3"/>
        <v>0.6286389730374212</v>
      </c>
      <c r="H20" s="1182">
        <f t="shared" si="3"/>
        <v>0.6386706709251393</v>
      </c>
      <c r="I20" s="1182">
        <f t="shared" si="3"/>
        <v>0.8042295771936768</v>
      </c>
      <c r="J20" s="1182">
        <f t="shared" si="3"/>
        <v>0.6289985703316726</v>
      </c>
      <c r="K20" s="1183"/>
    </row>
    <row r="21" spans="1:11" s="1232" customFormat="1" ht="36.75" customHeight="1">
      <c r="A21" s="936">
        <v>2</v>
      </c>
      <c r="B21" s="1184" t="s">
        <v>393</v>
      </c>
      <c r="C21" s="1176" t="s">
        <v>359</v>
      </c>
      <c r="D21" s="1197">
        <v>5959</v>
      </c>
      <c r="E21" s="1200">
        <v>1208</v>
      </c>
      <c r="F21" s="1200">
        <v>2152.81885</v>
      </c>
      <c r="G21" s="1200">
        <v>1457.07</v>
      </c>
      <c r="H21" s="1200">
        <v>1627.749747303</v>
      </c>
      <c r="I21" s="1200">
        <v>1250.918</v>
      </c>
      <c r="J21" s="1187">
        <f>SUM(E21:I21)</f>
        <v>7696.556597303</v>
      </c>
      <c r="K21" s="1186" t="s">
        <v>36</v>
      </c>
    </row>
    <row r="22" spans="1:13" s="1232" customFormat="1" ht="36.75" customHeight="1">
      <c r="A22" s="936"/>
      <c r="B22" s="1175" t="s">
        <v>386</v>
      </c>
      <c r="C22" s="1176" t="s">
        <v>5</v>
      </c>
      <c r="D22" s="1189"/>
      <c r="E22" s="1182">
        <f aca="true" t="shared" si="4" ref="E22:J22">E21/E17</f>
        <v>0.20291300669399764</v>
      </c>
      <c r="F22" s="1182">
        <f t="shared" si="4"/>
        <v>0.25859317332372195</v>
      </c>
      <c r="G22" s="1182">
        <f t="shared" si="4"/>
        <v>0.17902517862743506</v>
      </c>
      <c r="H22" s="1182">
        <f t="shared" si="4"/>
        <v>0.19136672308277736</v>
      </c>
      <c r="I22" s="1182">
        <f t="shared" si="4"/>
        <v>0.18036593181836205</v>
      </c>
      <c r="J22" s="1182">
        <f t="shared" si="4"/>
        <v>0.20329699631709522</v>
      </c>
      <c r="K22" s="1183"/>
      <c r="M22" s="1237"/>
    </row>
    <row r="23" spans="1:11" s="1232" customFormat="1" ht="36.75" customHeight="1">
      <c r="A23" s="936">
        <v>3</v>
      </c>
      <c r="B23" s="1196" t="s">
        <v>803</v>
      </c>
      <c r="C23" s="1176" t="s">
        <v>359</v>
      </c>
      <c r="D23" s="1189">
        <v>245.076</v>
      </c>
      <c r="E23" s="1198">
        <v>30</v>
      </c>
      <c r="F23" s="1198">
        <v>32</v>
      </c>
      <c r="G23" s="1198">
        <v>39.363831466</v>
      </c>
      <c r="H23" s="1198">
        <v>58.155702019</v>
      </c>
      <c r="I23" s="1201">
        <v>105.837</v>
      </c>
      <c r="J23" s="1202">
        <f>SUM(E23:I23)</f>
        <v>265.356533485</v>
      </c>
      <c r="K23" s="1186" t="s">
        <v>36</v>
      </c>
    </row>
    <row r="24" spans="1:11" s="1232" customFormat="1" ht="36.75" customHeight="1">
      <c r="A24" s="1180"/>
      <c r="B24" s="1175" t="s">
        <v>390</v>
      </c>
      <c r="C24" s="1176" t="s">
        <v>5</v>
      </c>
      <c r="D24" s="1189"/>
      <c r="E24" s="1182">
        <f aca="true" t="shared" si="5" ref="E24:J24">E23/E17</f>
        <v>0.005039230298691994</v>
      </c>
      <c r="F24" s="1182">
        <f t="shared" si="5"/>
        <v>0.003843789061192539</v>
      </c>
      <c r="G24" s="1182">
        <f t="shared" si="5"/>
        <v>0.004836498561950283</v>
      </c>
      <c r="H24" s="1182">
        <f t="shared" si="5"/>
        <v>0.006837086685096473</v>
      </c>
      <c r="I24" s="1182">
        <f t="shared" si="5"/>
        <v>0.015260304133332469</v>
      </c>
      <c r="J24" s="1182">
        <f t="shared" si="5"/>
        <v>0.00700913265934026</v>
      </c>
      <c r="K24" s="1183"/>
    </row>
    <row r="25" spans="1:11" ht="42.75" customHeight="1">
      <c r="A25" s="936">
        <v>4</v>
      </c>
      <c r="B25" s="1184" t="s">
        <v>793</v>
      </c>
      <c r="C25" s="1176"/>
      <c r="D25" s="1203">
        <f aca="true" t="shared" si="6" ref="D25:J25">D17-D19-D21-D23</f>
        <v>1974.503999999998</v>
      </c>
      <c r="E25" s="1203">
        <f t="shared" si="6"/>
        <v>1638.3923599999994</v>
      </c>
      <c r="F25" s="1203">
        <f t="shared" si="6"/>
        <v>1530.747240000001</v>
      </c>
      <c r="G25" s="1203">
        <f t="shared" si="6"/>
        <v>1526.0405249620007</v>
      </c>
      <c r="H25" s="1203">
        <f t="shared" si="6"/>
        <v>1387.5323700649997</v>
      </c>
      <c r="I25" s="1203">
        <f t="shared" si="6"/>
        <v>1.0000000000002132</v>
      </c>
      <c r="J25" s="1203">
        <f t="shared" si="6"/>
        <v>6083.712495026999</v>
      </c>
      <c r="K25" s="1186" t="s">
        <v>36</v>
      </c>
    </row>
    <row r="26" spans="1:11" ht="16.5">
      <c r="A26" s="1238"/>
      <c r="B26" s="1239"/>
      <c r="C26" s="1240"/>
      <c r="D26" s="1238"/>
      <c r="E26" s="938"/>
      <c r="F26" s="938"/>
      <c r="G26" s="938"/>
      <c r="H26" s="938"/>
      <c r="I26" s="938"/>
      <c r="J26" s="938"/>
      <c r="K26" s="938"/>
    </row>
    <row r="27" spans="1:11" ht="49.5">
      <c r="A27" s="1238"/>
      <c r="B27" s="1241" t="s">
        <v>809</v>
      </c>
      <c r="C27" s="1240"/>
      <c r="D27" s="1238"/>
      <c r="E27" s="938"/>
      <c r="F27" s="938"/>
      <c r="G27" s="938"/>
      <c r="H27" s="938"/>
      <c r="I27" s="938"/>
      <c r="J27" s="938"/>
      <c r="K27" s="938"/>
    </row>
    <row r="28" spans="1:11" ht="33">
      <c r="A28" s="1238"/>
      <c r="B28" s="1241" t="s">
        <v>810</v>
      </c>
      <c r="C28" s="1240"/>
      <c r="D28" s="1238"/>
      <c r="E28" s="938"/>
      <c r="F28" s="938"/>
      <c r="G28" s="938"/>
      <c r="H28" s="938"/>
      <c r="I28" s="938"/>
      <c r="J28" s="938"/>
      <c r="K28" s="938"/>
    </row>
    <row r="29" spans="1:11" ht="16.5">
      <c r="A29" s="1238"/>
      <c r="B29" s="1239"/>
      <c r="C29" s="1240"/>
      <c r="D29" s="1238"/>
      <c r="E29" s="938"/>
      <c r="F29" s="938"/>
      <c r="G29" s="938"/>
      <c r="H29" s="938"/>
      <c r="I29" s="938"/>
      <c r="J29" s="938"/>
      <c r="K29" s="938"/>
    </row>
    <row r="30" spans="1:11" ht="16.5">
      <c r="A30" s="1238"/>
      <c r="B30" s="1239"/>
      <c r="C30" s="1240"/>
      <c r="D30" s="1238"/>
      <c r="E30" s="938"/>
      <c r="F30" s="938"/>
      <c r="G30" s="938"/>
      <c r="H30" s="938"/>
      <c r="I30" s="938"/>
      <c r="J30" s="938"/>
      <c r="K30" s="938"/>
    </row>
    <row r="31" spans="1:11" ht="16.5">
      <c r="A31" s="1238"/>
      <c r="B31" s="1239"/>
      <c r="C31" s="1240"/>
      <c r="D31" s="1238"/>
      <c r="E31" s="938"/>
      <c r="F31" s="938"/>
      <c r="G31" s="938"/>
      <c r="H31" s="938"/>
      <c r="I31" s="938"/>
      <c r="J31" s="938"/>
      <c r="K31" s="938"/>
    </row>
    <row r="32" spans="1:11" ht="16.5">
      <c r="A32" s="1238"/>
      <c r="B32" s="1239"/>
      <c r="C32" s="1240"/>
      <c r="D32" s="1238"/>
      <c r="E32" s="938"/>
      <c r="F32" s="938"/>
      <c r="G32" s="938"/>
      <c r="H32" s="938"/>
      <c r="I32" s="938"/>
      <c r="J32" s="938"/>
      <c r="K32" s="938"/>
    </row>
    <row r="33" spans="1:11" ht="16.5">
      <c r="A33" s="1238"/>
      <c r="B33" s="1239"/>
      <c r="C33" s="1240"/>
      <c r="D33" s="1238"/>
      <c r="E33" s="938"/>
      <c r="F33" s="938"/>
      <c r="G33" s="938"/>
      <c r="H33" s="938"/>
      <c r="I33" s="938"/>
      <c r="J33" s="938"/>
      <c r="K33" s="938"/>
    </row>
    <row r="34" spans="1:11" ht="16.5">
      <c r="A34" s="1238"/>
      <c r="B34" s="1239"/>
      <c r="C34" s="1240"/>
      <c r="D34" s="1238"/>
      <c r="E34" s="938"/>
      <c r="F34" s="938"/>
      <c r="G34" s="938"/>
      <c r="H34" s="938"/>
      <c r="I34" s="938"/>
      <c r="J34" s="938"/>
      <c r="K34" s="938"/>
    </row>
    <row r="35" spans="1:11" ht="16.5">
      <c r="A35" s="1238"/>
      <c r="B35" s="1239"/>
      <c r="C35" s="1240"/>
      <c r="D35" s="1238"/>
      <c r="E35" s="938"/>
      <c r="F35" s="938"/>
      <c r="G35" s="938"/>
      <c r="H35" s="938"/>
      <c r="I35" s="938"/>
      <c r="J35" s="938"/>
      <c r="K35" s="938"/>
    </row>
    <row r="36" spans="1:11" ht="16.5">
      <c r="A36" s="1238"/>
      <c r="B36" s="1239"/>
      <c r="C36" s="1240"/>
      <c r="D36" s="1238"/>
      <c r="E36" s="938"/>
      <c r="F36" s="938"/>
      <c r="G36" s="938"/>
      <c r="H36" s="938"/>
      <c r="I36" s="938"/>
      <c r="J36" s="938"/>
      <c r="K36" s="938"/>
    </row>
    <row r="37" spans="1:11" ht="16.5">
      <c r="A37" s="1238"/>
      <c r="B37" s="1239"/>
      <c r="C37" s="1240"/>
      <c r="D37" s="1238"/>
      <c r="E37" s="938"/>
      <c r="F37" s="938"/>
      <c r="G37" s="938"/>
      <c r="H37" s="938"/>
      <c r="I37" s="938"/>
      <c r="J37" s="938"/>
      <c r="K37" s="938"/>
    </row>
    <row r="38" spans="1:11" ht="16.5">
      <c r="A38" s="1238"/>
      <c r="B38" s="1239"/>
      <c r="C38" s="1240"/>
      <c r="D38" s="1238"/>
      <c r="E38" s="938"/>
      <c r="F38" s="938"/>
      <c r="G38" s="938"/>
      <c r="H38" s="938"/>
      <c r="I38" s="938"/>
      <c r="J38" s="938"/>
      <c r="K38" s="938"/>
    </row>
    <row r="39" spans="1:11" ht="16.5">
      <c r="A39" s="1238"/>
      <c r="B39" s="1239"/>
      <c r="C39" s="1240"/>
      <c r="D39" s="1238"/>
      <c r="E39" s="938"/>
      <c r="F39" s="938"/>
      <c r="G39" s="938"/>
      <c r="H39" s="938"/>
      <c r="I39" s="938"/>
      <c r="J39" s="938"/>
      <c r="K39" s="938"/>
    </row>
    <row r="40" spans="1:11" ht="16.5">
      <c r="A40" s="1238"/>
      <c r="B40" s="1239"/>
      <c r="C40" s="1240"/>
      <c r="D40" s="1238"/>
      <c r="E40" s="938"/>
      <c r="F40" s="938"/>
      <c r="G40" s="938"/>
      <c r="H40" s="938"/>
      <c r="I40" s="938"/>
      <c r="J40" s="938"/>
      <c r="K40" s="938"/>
    </row>
    <row r="41" spans="1:11" ht="16.5">
      <c r="A41" s="1238"/>
      <c r="B41" s="1239"/>
      <c r="C41" s="1240"/>
      <c r="D41" s="1238"/>
      <c r="E41" s="938"/>
      <c r="F41" s="938"/>
      <c r="G41" s="938"/>
      <c r="H41" s="938"/>
      <c r="I41" s="938"/>
      <c r="J41" s="938"/>
      <c r="K41" s="938"/>
    </row>
    <row r="42" spans="1:11" ht="16.5">
      <c r="A42" s="1238"/>
      <c r="B42" s="1239"/>
      <c r="C42" s="1240"/>
      <c r="D42" s="1238"/>
      <c r="E42" s="938"/>
      <c r="F42" s="938"/>
      <c r="G42" s="938"/>
      <c r="H42" s="938"/>
      <c r="I42" s="938"/>
      <c r="J42" s="938"/>
      <c r="K42" s="938"/>
    </row>
    <row r="43" spans="1:11" ht="16.5">
      <c r="A43" s="1238"/>
      <c r="B43" s="1239"/>
      <c r="C43" s="1240"/>
      <c r="D43" s="1238"/>
      <c r="E43" s="938"/>
      <c r="F43" s="938"/>
      <c r="G43" s="938"/>
      <c r="H43" s="938"/>
      <c r="I43" s="938"/>
      <c r="J43" s="938"/>
      <c r="K43" s="938"/>
    </row>
    <row r="44" spans="1:11" ht="16.5">
      <c r="A44" s="1238"/>
      <c r="B44" s="1239"/>
      <c r="C44" s="1240"/>
      <c r="D44" s="1238"/>
      <c r="E44" s="938"/>
      <c r="F44" s="938"/>
      <c r="G44" s="938"/>
      <c r="H44" s="938"/>
      <c r="I44" s="938"/>
      <c r="J44" s="938"/>
      <c r="K44" s="938"/>
    </row>
    <row r="45" spans="1:11" ht="16.5">
      <c r="A45" s="1238"/>
      <c r="B45" s="1239"/>
      <c r="C45" s="1240"/>
      <c r="D45" s="1238"/>
      <c r="E45" s="938"/>
      <c r="F45" s="938"/>
      <c r="G45" s="938"/>
      <c r="H45" s="938"/>
      <c r="I45" s="938"/>
      <c r="J45" s="938"/>
      <c r="K45" s="938"/>
    </row>
    <row r="46" spans="1:11" ht="16.5">
      <c r="A46" s="1238"/>
      <c r="B46" s="1239"/>
      <c r="C46" s="1240"/>
      <c r="D46" s="1238"/>
      <c r="E46" s="938"/>
      <c r="F46" s="938"/>
      <c r="G46" s="938"/>
      <c r="H46" s="938"/>
      <c r="I46" s="938"/>
      <c r="J46" s="938"/>
      <c r="K46" s="938"/>
    </row>
    <row r="47" spans="1:11" ht="16.5">
      <c r="A47" s="1238"/>
      <c r="B47" s="1239"/>
      <c r="C47" s="1240"/>
      <c r="D47" s="1238"/>
      <c r="E47" s="938"/>
      <c r="F47" s="938"/>
      <c r="G47" s="938"/>
      <c r="H47" s="938"/>
      <c r="I47" s="938"/>
      <c r="J47" s="938"/>
      <c r="K47" s="938"/>
    </row>
    <row r="48" spans="1:11" ht="16.5">
      <c r="A48" s="1238"/>
      <c r="B48" s="1239"/>
      <c r="C48" s="1240"/>
      <c r="D48" s="1238"/>
      <c r="E48" s="938"/>
      <c r="F48" s="938"/>
      <c r="G48" s="938"/>
      <c r="H48" s="938"/>
      <c r="I48" s="938"/>
      <c r="J48" s="938"/>
      <c r="K48" s="938"/>
    </row>
    <row r="49" spans="1:11" ht="16.5">
      <c r="A49" s="1238"/>
      <c r="B49" s="1239"/>
      <c r="C49" s="1240"/>
      <c r="D49" s="1238"/>
      <c r="E49" s="938"/>
      <c r="F49" s="938"/>
      <c r="G49" s="938"/>
      <c r="H49" s="938"/>
      <c r="I49" s="938"/>
      <c r="J49" s="938"/>
      <c r="K49" s="938"/>
    </row>
    <row r="50" spans="1:11" ht="16.5">
      <c r="A50" s="1238"/>
      <c r="B50" s="1239"/>
      <c r="C50" s="1240"/>
      <c r="D50" s="1238"/>
      <c r="E50" s="938"/>
      <c r="F50" s="938"/>
      <c r="G50" s="938"/>
      <c r="H50" s="938"/>
      <c r="I50" s="938"/>
      <c r="J50" s="938"/>
      <c r="K50" s="938"/>
    </row>
    <row r="51" spans="1:11" ht="16.5">
      <c r="A51" s="1238"/>
      <c r="B51" s="1239"/>
      <c r="C51" s="1240"/>
      <c r="D51" s="1238"/>
      <c r="E51" s="938"/>
      <c r="F51" s="938"/>
      <c r="G51" s="938"/>
      <c r="H51" s="938"/>
      <c r="I51" s="938"/>
      <c r="J51" s="938"/>
      <c r="K51" s="938"/>
    </row>
    <row r="52" spans="1:11" ht="16.5">
      <c r="A52" s="1238"/>
      <c r="B52" s="1239"/>
      <c r="C52" s="1240"/>
      <c r="D52" s="1238"/>
      <c r="E52" s="938"/>
      <c r="F52" s="938"/>
      <c r="G52" s="938"/>
      <c r="H52" s="938"/>
      <c r="I52" s="938"/>
      <c r="J52" s="938"/>
      <c r="K52" s="938"/>
    </row>
    <row r="53" spans="1:11" ht="16.5">
      <c r="A53" s="1238"/>
      <c r="B53" s="1239"/>
      <c r="C53" s="1240"/>
      <c r="D53" s="1238"/>
      <c r="E53" s="938"/>
      <c r="F53" s="938"/>
      <c r="G53" s="938"/>
      <c r="H53" s="938"/>
      <c r="I53" s="938"/>
      <c r="J53" s="938"/>
      <c r="K53" s="938"/>
    </row>
    <row r="54" spans="1:11" ht="16.5">
      <c r="A54" s="1238"/>
      <c r="B54" s="1239"/>
      <c r="C54" s="1240"/>
      <c r="D54" s="1238"/>
      <c r="E54" s="938"/>
      <c r="F54" s="938"/>
      <c r="G54" s="938"/>
      <c r="H54" s="938"/>
      <c r="I54" s="938"/>
      <c r="J54" s="938"/>
      <c r="K54" s="938"/>
    </row>
    <row r="55" spans="1:11" ht="12.75" customHeight="1">
      <c r="A55" s="1242"/>
      <c r="B55" s="1243"/>
      <c r="C55" s="1244"/>
      <c r="D55" s="1242"/>
      <c r="E55" s="1245"/>
      <c r="F55" s="1245"/>
      <c r="G55" s="1245"/>
      <c r="H55" s="1245"/>
      <c r="I55" s="1245"/>
      <c r="J55" s="1245"/>
      <c r="K55" s="1245"/>
    </row>
    <row r="56" spans="1:11" s="1228" customFormat="1" ht="63.75" customHeight="1">
      <c r="A56" s="1246"/>
      <c r="B56" s="1247" t="s">
        <v>276</v>
      </c>
      <c r="C56" s="1248"/>
      <c r="D56" s="1246"/>
      <c r="E56" s="1249"/>
      <c r="F56" s="1249"/>
      <c r="G56" s="1249"/>
      <c r="H56" s="1250" t="e">
        <f>+H55/#REF!*100</f>
        <v>#REF!</v>
      </c>
      <c r="I56" s="1250" t="e">
        <f>+I55/#REF!*100</f>
        <v>#REF!</v>
      </c>
      <c r="J56" s="1250" t="e">
        <f>+J55/#REF!*100</f>
        <v>#REF!</v>
      </c>
      <c r="K56" s="1250"/>
    </row>
    <row r="57" spans="1:11" s="1251" customFormat="1" ht="38.25" customHeight="1">
      <c r="A57" s="1238"/>
      <c r="B57" s="1239"/>
      <c r="C57" s="1240"/>
      <c r="D57" s="1238"/>
      <c r="E57" s="938"/>
      <c r="F57" s="938"/>
      <c r="G57" s="938"/>
      <c r="H57" s="938"/>
      <c r="I57" s="938"/>
      <c r="J57" s="938"/>
      <c r="K57" s="938"/>
    </row>
    <row r="58" spans="1:11" s="1251" customFormat="1" ht="38.25" customHeight="1">
      <c r="A58" s="1238"/>
      <c r="B58" s="1239"/>
      <c r="C58" s="1240"/>
      <c r="D58" s="1238"/>
      <c r="E58" s="938"/>
      <c r="F58" s="938"/>
      <c r="G58" s="938"/>
      <c r="H58" s="938"/>
      <c r="I58" s="938"/>
      <c r="J58" s="938"/>
      <c r="K58" s="938"/>
    </row>
    <row r="59" spans="1:11" s="1251" customFormat="1" ht="38.25" customHeight="1">
      <c r="A59" s="1238"/>
      <c r="B59" s="1239"/>
      <c r="C59" s="1240"/>
      <c r="D59" s="1238"/>
      <c r="E59" s="938"/>
      <c r="F59" s="938"/>
      <c r="G59" s="938"/>
      <c r="H59" s="938"/>
      <c r="I59" s="938"/>
      <c r="J59" s="938"/>
      <c r="K59" s="938"/>
    </row>
    <row r="60" spans="1:11" s="1251" customFormat="1" ht="38.25" customHeight="1">
      <c r="A60" s="1238"/>
      <c r="B60" s="1239"/>
      <c r="C60" s="1240"/>
      <c r="D60" s="1238"/>
      <c r="E60" s="938"/>
      <c r="F60" s="938"/>
      <c r="G60" s="938"/>
      <c r="H60" s="938"/>
      <c r="I60" s="938"/>
      <c r="J60" s="938"/>
      <c r="K60" s="938"/>
    </row>
    <row r="61" spans="1:11" ht="38.25" customHeight="1">
      <c r="A61" s="1238"/>
      <c r="B61" s="1239"/>
      <c r="C61" s="1240"/>
      <c r="D61" s="1238"/>
      <c r="E61" s="938"/>
      <c r="F61" s="938"/>
      <c r="G61" s="938"/>
      <c r="H61" s="938"/>
      <c r="I61" s="938"/>
      <c r="J61" s="938"/>
      <c r="K61" s="938"/>
    </row>
    <row r="62" spans="1:11" ht="38.25" customHeight="1">
      <c r="A62" s="1238"/>
      <c r="B62" s="1239"/>
      <c r="C62" s="1240"/>
      <c r="D62" s="1238"/>
      <c r="E62" s="938"/>
      <c r="F62" s="938"/>
      <c r="G62" s="938"/>
      <c r="H62" s="938"/>
      <c r="I62" s="938"/>
      <c r="J62" s="938"/>
      <c r="K62" s="938"/>
    </row>
    <row r="63" spans="1:11" ht="16.5">
      <c r="A63" s="1238"/>
      <c r="B63" s="1239"/>
      <c r="C63" s="1240"/>
      <c r="D63" s="1238"/>
      <c r="E63" s="938"/>
      <c r="F63" s="938"/>
      <c r="G63" s="938"/>
      <c r="H63" s="938"/>
      <c r="I63" s="938"/>
      <c r="J63" s="938"/>
      <c r="K63" s="938"/>
    </row>
    <row r="64" spans="1:11" ht="16.5">
      <c r="A64" s="1238"/>
      <c r="B64" s="1239"/>
      <c r="C64" s="1240"/>
      <c r="D64" s="1238"/>
      <c r="E64" s="938"/>
      <c r="F64" s="938"/>
      <c r="G64" s="938"/>
      <c r="H64" s="938"/>
      <c r="I64" s="938"/>
      <c r="J64" s="938"/>
      <c r="K64" s="938"/>
    </row>
    <row r="65" spans="1:11" ht="16.5">
      <c r="A65" s="1238"/>
      <c r="B65" s="1239"/>
      <c r="C65" s="1240"/>
      <c r="D65" s="1238"/>
      <c r="E65" s="938"/>
      <c r="F65" s="938"/>
      <c r="G65" s="938"/>
      <c r="H65" s="938"/>
      <c r="I65" s="938"/>
      <c r="J65" s="938"/>
      <c r="K65" s="938"/>
    </row>
    <row r="66" spans="1:11" ht="16.5">
      <c r="A66" s="1238"/>
      <c r="B66" s="1239"/>
      <c r="C66" s="1240"/>
      <c r="D66" s="1238"/>
      <c r="E66" s="938"/>
      <c r="F66" s="938"/>
      <c r="G66" s="938"/>
      <c r="H66" s="938"/>
      <c r="I66" s="938"/>
      <c r="J66" s="938"/>
      <c r="K66" s="938"/>
    </row>
    <row r="67" spans="1:11" ht="16.5">
      <c r="A67" s="1238"/>
      <c r="B67" s="1239"/>
      <c r="C67" s="1240"/>
      <c r="D67" s="1238"/>
      <c r="E67" s="938"/>
      <c r="F67" s="938"/>
      <c r="G67" s="938"/>
      <c r="H67" s="938"/>
      <c r="I67" s="938"/>
      <c r="J67" s="938"/>
      <c r="K67" s="938"/>
    </row>
    <row r="68" spans="1:11" ht="16.5">
      <c r="A68" s="1238"/>
      <c r="B68" s="1239"/>
      <c r="C68" s="1240"/>
      <c r="D68" s="1238"/>
      <c r="E68" s="938"/>
      <c r="F68" s="938"/>
      <c r="G68" s="938"/>
      <c r="H68" s="938"/>
      <c r="I68" s="938"/>
      <c r="J68" s="938"/>
      <c r="K68" s="938"/>
    </row>
    <row r="69" spans="1:11" ht="16.5">
      <c r="A69" s="1238"/>
      <c r="B69" s="1239"/>
      <c r="C69" s="1240"/>
      <c r="D69" s="1238"/>
      <c r="E69" s="938"/>
      <c r="F69" s="938"/>
      <c r="G69" s="938"/>
      <c r="H69" s="938"/>
      <c r="I69" s="938"/>
      <c r="J69" s="938"/>
      <c r="K69" s="938"/>
    </row>
    <row r="70" spans="1:14" ht="16.5">
      <c r="A70" s="1238"/>
      <c r="B70" s="1239"/>
      <c r="C70" s="1240"/>
      <c r="D70" s="1238"/>
      <c r="E70" s="938"/>
      <c r="F70" s="938"/>
      <c r="G70" s="938"/>
      <c r="H70" s="938"/>
      <c r="I70" s="938"/>
      <c r="J70" s="938"/>
      <c r="K70" s="938"/>
      <c r="N70" s="1137"/>
    </row>
    <row r="71" spans="1:11" ht="16.5">
      <c r="A71" s="1238"/>
      <c r="B71" s="1239"/>
      <c r="C71" s="1240"/>
      <c r="D71" s="1238"/>
      <c r="E71" s="938"/>
      <c r="F71" s="938"/>
      <c r="G71" s="938"/>
      <c r="H71" s="938"/>
      <c r="I71" s="938"/>
      <c r="J71" s="938"/>
      <c r="K71" s="938"/>
    </row>
    <row r="72" spans="1:11" ht="16.5">
      <c r="A72" s="1238"/>
      <c r="B72" s="1239"/>
      <c r="C72" s="1240"/>
      <c r="D72" s="1238"/>
      <c r="E72" s="938"/>
      <c r="F72" s="938"/>
      <c r="G72" s="938"/>
      <c r="H72" s="938"/>
      <c r="I72" s="938"/>
      <c r="J72" s="938"/>
      <c r="K72" s="938"/>
    </row>
    <row r="73" spans="1:11" ht="16.5">
      <c r="A73" s="1238"/>
      <c r="B73" s="1239"/>
      <c r="C73" s="1240"/>
      <c r="D73" s="1238"/>
      <c r="E73" s="938"/>
      <c r="F73" s="938"/>
      <c r="G73" s="938"/>
      <c r="H73" s="938"/>
      <c r="I73" s="938"/>
      <c r="J73" s="938"/>
      <c r="K73" s="938"/>
    </row>
    <row r="74" spans="1:15" ht="16.5">
      <c r="A74" s="1238"/>
      <c r="B74" s="1239"/>
      <c r="C74" s="1240"/>
      <c r="D74" s="1238"/>
      <c r="E74" s="938"/>
      <c r="F74" s="938"/>
      <c r="G74" s="938"/>
      <c r="H74" s="938"/>
      <c r="I74" s="938"/>
      <c r="J74" s="938"/>
      <c r="K74" s="938"/>
      <c r="N74" s="1138">
        <v>14411</v>
      </c>
      <c r="O74" s="1252" t="e">
        <f>N74/M69*100</f>
        <v>#DIV/0!</v>
      </c>
    </row>
    <row r="75" spans="1:11" ht="16.5">
      <c r="A75" s="1238"/>
      <c r="B75" s="1239"/>
      <c r="C75" s="1240"/>
      <c r="D75" s="1238"/>
      <c r="E75" s="938"/>
      <c r="F75" s="938"/>
      <c r="G75" s="938"/>
      <c r="H75" s="938"/>
      <c r="I75" s="938"/>
      <c r="J75" s="938"/>
      <c r="K75" s="938"/>
    </row>
    <row r="76" spans="1:11" ht="16.5">
      <c r="A76" s="1238"/>
      <c r="B76" s="1239"/>
      <c r="C76" s="1240"/>
      <c r="D76" s="1238"/>
      <c r="E76" s="938"/>
      <c r="F76" s="938"/>
      <c r="G76" s="938"/>
      <c r="H76" s="938"/>
      <c r="I76" s="938"/>
      <c r="J76" s="938"/>
      <c r="K76" s="938"/>
    </row>
    <row r="77" spans="1:11" ht="16.5">
      <c r="A77" s="1238"/>
      <c r="B77" s="1239"/>
      <c r="C77" s="1240"/>
      <c r="D77" s="1238"/>
      <c r="E77" s="938"/>
      <c r="F77" s="938"/>
      <c r="G77" s="938"/>
      <c r="H77" s="938"/>
      <c r="I77" s="938"/>
      <c r="J77" s="938"/>
      <c r="K77" s="938"/>
    </row>
    <row r="78" spans="1:14" ht="16.5">
      <c r="A78" s="1238"/>
      <c r="B78" s="1239"/>
      <c r="C78" s="1240"/>
      <c r="D78" s="1238"/>
      <c r="E78" s="938"/>
      <c r="F78" s="938"/>
      <c r="G78" s="938"/>
      <c r="H78" s="938"/>
      <c r="I78" s="938"/>
      <c r="J78" s="938"/>
      <c r="K78" s="938"/>
      <c r="N78" s="371">
        <v>11397</v>
      </c>
    </row>
    <row r="79" spans="1:14" ht="16.5">
      <c r="A79" s="1238"/>
      <c r="B79" s="1239"/>
      <c r="C79" s="1240"/>
      <c r="D79" s="1238"/>
      <c r="E79" s="938"/>
      <c r="F79" s="938"/>
      <c r="G79" s="938"/>
      <c r="H79" s="938"/>
      <c r="I79" s="938"/>
      <c r="J79" s="938"/>
      <c r="K79" s="938"/>
      <c r="N79" s="1137">
        <v>10435</v>
      </c>
    </row>
    <row r="80" spans="1:14" ht="16.5">
      <c r="A80" s="1238"/>
      <c r="B80" s="1239"/>
      <c r="C80" s="1240"/>
      <c r="D80" s="1238"/>
      <c r="E80" s="938"/>
      <c r="F80" s="938"/>
      <c r="G80" s="938"/>
      <c r="H80" s="938"/>
      <c r="I80" s="938"/>
      <c r="J80" s="938"/>
      <c r="K80" s="938"/>
      <c r="N80" s="1253">
        <f>N78-N79</f>
        <v>962</v>
      </c>
    </row>
    <row r="81" spans="1:11" ht="16.5">
      <c r="A81" s="1238"/>
      <c r="B81" s="1239"/>
      <c r="C81" s="1240"/>
      <c r="D81" s="1238"/>
      <c r="E81" s="938"/>
      <c r="F81" s="938"/>
      <c r="G81" s="938"/>
      <c r="H81" s="938"/>
      <c r="I81" s="938"/>
      <c r="J81" s="938"/>
      <c r="K81" s="938"/>
    </row>
    <row r="82" spans="1:11" ht="16.5">
      <c r="A82" s="1238"/>
      <c r="B82" s="1239"/>
      <c r="C82" s="1240"/>
      <c r="D82" s="1238"/>
      <c r="E82" s="938"/>
      <c r="F82" s="938"/>
      <c r="G82" s="938"/>
      <c r="H82" s="938"/>
      <c r="I82" s="938"/>
      <c r="J82" s="938"/>
      <c r="K82" s="938"/>
    </row>
    <row r="83" spans="1:11" ht="16.5">
      <c r="A83" s="1238"/>
      <c r="B83" s="1239"/>
      <c r="C83" s="1240"/>
      <c r="D83" s="1238"/>
      <c r="E83" s="938"/>
      <c r="F83" s="938"/>
      <c r="G83" s="938"/>
      <c r="H83" s="938"/>
      <c r="I83" s="938"/>
      <c r="J83" s="938"/>
      <c r="K83" s="938"/>
    </row>
    <row r="84" spans="1:11" ht="16.5">
      <c r="A84" s="1238"/>
      <c r="B84" s="1239"/>
      <c r="C84" s="1240"/>
      <c r="D84" s="1238"/>
      <c r="E84" s="938"/>
      <c r="F84" s="938"/>
      <c r="G84" s="938"/>
      <c r="H84" s="938"/>
      <c r="I84" s="938"/>
      <c r="J84" s="938"/>
      <c r="K84" s="938"/>
    </row>
    <row r="85" spans="1:11" ht="16.5">
      <c r="A85" s="1238"/>
      <c r="B85" s="1239"/>
      <c r="C85" s="1240"/>
      <c r="D85" s="1238"/>
      <c r="E85" s="938"/>
      <c r="F85" s="938"/>
      <c r="G85" s="938"/>
      <c r="H85" s="938"/>
      <c r="I85" s="938"/>
      <c r="J85" s="938"/>
      <c r="K85" s="938"/>
    </row>
    <row r="86" spans="1:11" ht="16.5">
      <c r="A86" s="1238"/>
      <c r="B86" s="1239"/>
      <c r="C86" s="1240"/>
      <c r="D86" s="1238"/>
      <c r="E86" s="938"/>
      <c r="F86" s="938"/>
      <c r="G86" s="938"/>
      <c r="H86" s="938"/>
      <c r="I86" s="938"/>
      <c r="J86" s="938"/>
      <c r="K86" s="938"/>
    </row>
    <row r="87" spans="1:14" ht="16.5">
      <c r="A87" s="1238"/>
      <c r="B87" s="1239"/>
      <c r="C87" s="1240"/>
      <c r="D87" s="1238"/>
      <c r="E87" s="938"/>
      <c r="F87" s="938"/>
      <c r="G87" s="938"/>
      <c r="H87" s="938"/>
      <c r="I87" s="938"/>
      <c r="J87" s="938"/>
      <c r="K87" s="938"/>
      <c r="N87" s="939">
        <v>2441</v>
      </c>
    </row>
    <row r="88" spans="1:14" ht="16.5">
      <c r="A88" s="1238"/>
      <c r="B88" s="1239"/>
      <c r="C88" s="1240"/>
      <c r="D88" s="1238"/>
      <c r="E88" s="938"/>
      <c r="F88" s="938"/>
      <c r="G88" s="938"/>
      <c r="H88" s="938"/>
      <c r="I88" s="938"/>
      <c r="J88" s="938"/>
      <c r="K88" s="938"/>
      <c r="N88" s="1253">
        <f>N80+N87</f>
        <v>3403</v>
      </c>
    </row>
    <row r="89" spans="1:11" ht="16.5">
      <c r="A89" s="1238"/>
      <c r="B89" s="1239"/>
      <c r="C89" s="1240"/>
      <c r="D89" s="1238"/>
      <c r="E89" s="938"/>
      <c r="F89" s="938"/>
      <c r="G89" s="938"/>
      <c r="H89" s="938"/>
      <c r="I89" s="938"/>
      <c r="J89" s="938"/>
      <c r="K89" s="938"/>
    </row>
    <row r="90" spans="1:11" ht="16.5">
      <c r="A90" s="1238"/>
      <c r="B90" s="1239"/>
      <c r="C90" s="1240"/>
      <c r="D90" s="1238"/>
      <c r="E90" s="938"/>
      <c r="F90" s="938"/>
      <c r="G90" s="938"/>
      <c r="H90" s="938"/>
      <c r="I90" s="938"/>
      <c r="J90" s="938"/>
      <c r="K90" s="938"/>
    </row>
    <row r="91" spans="1:11" ht="16.5">
      <c r="A91" s="1238"/>
      <c r="B91" s="1239"/>
      <c r="C91" s="1240"/>
      <c r="D91" s="1238"/>
      <c r="E91" s="938"/>
      <c r="F91" s="938"/>
      <c r="G91" s="938"/>
      <c r="H91" s="938"/>
      <c r="I91" s="938"/>
      <c r="J91" s="938"/>
      <c r="K91" s="938"/>
    </row>
    <row r="92" spans="1:11" ht="16.5">
      <c r="A92" s="1238"/>
      <c r="B92" s="1239"/>
      <c r="C92" s="1240"/>
      <c r="D92" s="1238"/>
      <c r="E92" s="938"/>
      <c r="F92" s="938"/>
      <c r="G92" s="938"/>
      <c r="H92" s="938"/>
      <c r="I92" s="938"/>
      <c r="J92" s="938"/>
      <c r="K92" s="938"/>
    </row>
    <row r="93" spans="1:11" ht="16.5">
      <c r="A93" s="1238"/>
      <c r="B93" s="1239"/>
      <c r="C93" s="1240"/>
      <c r="D93" s="1238"/>
      <c r="E93" s="938"/>
      <c r="F93" s="938"/>
      <c r="G93" s="938"/>
      <c r="H93" s="938"/>
      <c r="I93" s="938"/>
      <c r="J93" s="938"/>
      <c r="K93" s="938"/>
    </row>
    <row r="94" spans="1:11" ht="16.5">
      <c r="A94" s="1238"/>
      <c r="B94" s="1239"/>
      <c r="C94" s="1240"/>
      <c r="D94" s="1238"/>
      <c r="E94" s="938"/>
      <c r="F94" s="938"/>
      <c r="G94" s="938"/>
      <c r="H94" s="938"/>
      <c r="I94" s="938"/>
      <c r="J94" s="938"/>
      <c r="K94" s="938"/>
    </row>
    <row r="95" spans="1:11" ht="16.5">
      <c r="A95" s="1238"/>
      <c r="B95" s="1239"/>
      <c r="C95" s="1240"/>
      <c r="D95" s="1238"/>
      <c r="E95" s="938"/>
      <c r="F95" s="938"/>
      <c r="G95" s="938"/>
      <c r="H95" s="938"/>
      <c r="I95" s="938"/>
      <c r="J95" s="938"/>
      <c r="K95" s="938"/>
    </row>
    <row r="96" spans="1:11" ht="16.5">
      <c r="A96" s="1238"/>
      <c r="B96" s="1239"/>
      <c r="C96" s="1240"/>
      <c r="D96" s="1238"/>
      <c r="E96" s="938"/>
      <c r="F96" s="938"/>
      <c r="G96" s="938"/>
      <c r="H96" s="938"/>
      <c r="I96" s="938"/>
      <c r="J96" s="938"/>
      <c r="K96" s="938"/>
    </row>
    <row r="97" spans="1:11" ht="16.5">
      <c r="A97" s="1238"/>
      <c r="B97" s="1239"/>
      <c r="C97" s="1240"/>
      <c r="D97" s="1238"/>
      <c r="E97" s="938"/>
      <c r="F97" s="938"/>
      <c r="G97" s="938"/>
      <c r="H97" s="938"/>
      <c r="I97" s="938"/>
      <c r="J97" s="938"/>
      <c r="K97" s="938"/>
    </row>
    <row r="98" spans="1:11" ht="16.5">
      <c r="A98" s="1238"/>
      <c r="B98" s="1239"/>
      <c r="C98" s="1240"/>
      <c r="D98" s="1238"/>
      <c r="E98" s="938"/>
      <c r="F98" s="938"/>
      <c r="G98" s="938"/>
      <c r="H98" s="938"/>
      <c r="I98" s="938"/>
      <c r="J98" s="938"/>
      <c r="K98" s="938"/>
    </row>
    <row r="99" spans="1:11" ht="16.5">
      <c r="A99" s="1238"/>
      <c r="B99" s="1239"/>
      <c r="C99" s="1240"/>
      <c r="D99" s="1238"/>
      <c r="E99" s="938"/>
      <c r="F99" s="938"/>
      <c r="G99" s="938"/>
      <c r="H99" s="938"/>
      <c r="I99" s="938"/>
      <c r="J99" s="938"/>
      <c r="K99" s="938"/>
    </row>
    <row r="100" spans="1:11" ht="16.5">
      <c r="A100" s="1238"/>
      <c r="B100" s="1239"/>
      <c r="C100" s="1240"/>
      <c r="D100" s="1238"/>
      <c r="E100" s="938"/>
      <c r="F100" s="938"/>
      <c r="G100" s="938"/>
      <c r="H100" s="938"/>
      <c r="I100" s="938"/>
      <c r="J100" s="938"/>
      <c r="K100" s="938"/>
    </row>
    <row r="101" spans="1:11" ht="16.5">
      <c r="A101" s="1238"/>
      <c r="B101" s="1239"/>
      <c r="C101" s="1240"/>
      <c r="D101" s="1238"/>
      <c r="E101" s="938"/>
      <c r="F101" s="938"/>
      <c r="G101" s="938"/>
      <c r="H101" s="938"/>
      <c r="I101" s="938"/>
      <c r="J101" s="938"/>
      <c r="K101" s="938"/>
    </row>
    <row r="102" spans="1:11" ht="16.5">
      <c r="A102" s="1238"/>
      <c r="B102" s="1239"/>
      <c r="C102" s="1240"/>
      <c r="D102" s="1238"/>
      <c r="E102" s="938"/>
      <c r="F102" s="938"/>
      <c r="G102" s="938"/>
      <c r="H102" s="938"/>
      <c r="I102" s="938"/>
      <c r="J102" s="938"/>
      <c r="K102" s="938"/>
    </row>
    <row r="103" spans="1:11" ht="16.5">
      <c r="A103" s="1238"/>
      <c r="B103" s="1239"/>
      <c r="C103" s="1240"/>
      <c r="D103" s="1238"/>
      <c r="E103" s="938"/>
      <c r="F103" s="938"/>
      <c r="G103" s="938"/>
      <c r="H103" s="938"/>
      <c r="I103" s="938"/>
      <c r="J103" s="938"/>
      <c r="K103" s="938"/>
    </row>
    <row r="104" spans="1:11" ht="16.5">
      <c r="A104" s="1238"/>
      <c r="B104" s="1239"/>
      <c r="C104" s="1240"/>
      <c r="D104" s="1238"/>
      <c r="E104" s="938"/>
      <c r="F104" s="938"/>
      <c r="G104" s="938"/>
      <c r="H104" s="938"/>
      <c r="I104" s="938"/>
      <c r="J104" s="938"/>
      <c r="K104" s="938"/>
    </row>
    <row r="105" spans="1:11" ht="16.5">
      <c r="A105" s="1238"/>
      <c r="B105" s="1239"/>
      <c r="C105" s="1240"/>
      <c r="D105" s="1238"/>
      <c r="E105" s="938"/>
      <c r="F105" s="938"/>
      <c r="G105" s="938"/>
      <c r="H105" s="938"/>
      <c r="I105" s="938"/>
      <c r="J105" s="938"/>
      <c r="K105" s="938"/>
    </row>
    <row r="106" spans="1:11" ht="16.5">
      <c r="A106" s="1238"/>
      <c r="B106" s="1239"/>
      <c r="C106" s="1240"/>
      <c r="D106" s="1238"/>
      <c r="E106" s="938"/>
      <c r="F106" s="938"/>
      <c r="G106" s="938"/>
      <c r="H106" s="938"/>
      <c r="I106" s="938"/>
      <c r="J106" s="938"/>
      <c r="K106" s="938"/>
    </row>
    <row r="107" spans="1:11" ht="16.5">
      <c r="A107" s="1238"/>
      <c r="B107" s="1239"/>
      <c r="C107" s="1240"/>
      <c r="D107" s="1238"/>
      <c r="E107" s="938"/>
      <c r="F107" s="938"/>
      <c r="G107" s="938"/>
      <c r="H107" s="938"/>
      <c r="I107" s="938"/>
      <c r="J107" s="938"/>
      <c r="K107" s="938"/>
    </row>
    <row r="108" spans="1:11" ht="16.5">
      <c r="A108" s="1238"/>
      <c r="B108" s="1239"/>
      <c r="C108" s="1240"/>
      <c r="D108" s="1238"/>
      <c r="E108" s="938"/>
      <c r="F108" s="938"/>
      <c r="G108" s="938"/>
      <c r="H108" s="938"/>
      <c r="I108" s="938"/>
      <c r="J108" s="938"/>
      <c r="K108" s="938"/>
    </row>
    <row r="109" spans="1:11" ht="16.5">
      <c r="A109" s="1238"/>
      <c r="B109" s="1239"/>
      <c r="C109" s="1240"/>
      <c r="D109" s="1238"/>
      <c r="E109" s="938"/>
      <c r="F109" s="938"/>
      <c r="G109" s="938"/>
      <c r="H109" s="938"/>
      <c r="I109" s="938"/>
      <c r="J109" s="938"/>
      <c r="K109" s="938"/>
    </row>
    <row r="110" spans="1:11" ht="16.5">
      <c r="A110" s="1238"/>
      <c r="B110" s="1239"/>
      <c r="C110" s="1240"/>
      <c r="D110" s="1238"/>
      <c r="E110" s="938"/>
      <c r="F110" s="938"/>
      <c r="G110" s="938"/>
      <c r="H110" s="938"/>
      <c r="I110" s="938"/>
      <c r="J110" s="938"/>
      <c r="K110" s="938"/>
    </row>
    <row r="111" spans="1:11" ht="16.5">
      <c r="A111" s="1238"/>
      <c r="B111" s="1239"/>
      <c r="C111" s="1240"/>
      <c r="D111" s="1238"/>
      <c r="E111" s="938"/>
      <c r="F111" s="938"/>
      <c r="G111" s="938"/>
      <c r="H111" s="938"/>
      <c r="I111" s="938"/>
      <c r="J111" s="938"/>
      <c r="K111" s="938"/>
    </row>
    <row r="112" spans="1:11" ht="16.5">
      <c r="A112" s="1238"/>
      <c r="B112" s="1239"/>
      <c r="C112" s="1240"/>
      <c r="D112" s="1238"/>
      <c r="E112" s="938"/>
      <c r="F112" s="938"/>
      <c r="G112" s="938"/>
      <c r="H112" s="938"/>
      <c r="I112" s="938"/>
      <c r="J112" s="938"/>
      <c r="K112" s="938"/>
    </row>
    <row r="113" spans="1:11" ht="16.5">
      <c r="A113" s="1238"/>
      <c r="B113" s="1239"/>
      <c r="C113" s="1240"/>
      <c r="D113" s="1238"/>
      <c r="E113" s="938"/>
      <c r="F113" s="938"/>
      <c r="G113" s="938"/>
      <c r="H113" s="938"/>
      <c r="I113" s="938"/>
      <c r="J113" s="938"/>
      <c r="K113" s="938"/>
    </row>
    <row r="114" spans="1:11" ht="16.5">
      <c r="A114" s="1238"/>
      <c r="B114" s="1239"/>
      <c r="C114" s="1240"/>
      <c r="D114" s="1238"/>
      <c r="E114" s="938"/>
      <c r="F114" s="938"/>
      <c r="G114" s="938"/>
      <c r="H114" s="938"/>
      <c r="I114" s="938"/>
      <c r="J114" s="938"/>
      <c r="K114" s="938"/>
    </row>
    <row r="115" spans="1:11" ht="16.5">
      <c r="A115" s="1238"/>
      <c r="B115" s="1239"/>
      <c r="C115" s="1240"/>
      <c r="D115" s="1238"/>
      <c r="E115" s="938"/>
      <c r="F115" s="938"/>
      <c r="G115" s="938"/>
      <c r="H115" s="938"/>
      <c r="I115" s="938"/>
      <c r="J115" s="938"/>
      <c r="K115" s="938"/>
    </row>
    <row r="116" spans="1:11" ht="16.5">
      <c r="A116" s="1238"/>
      <c r="B116" s="1239"/>
      <c r="C116" s="1240"/>
      <c r="D116" s="1238"/>
      <c r="E116" s="938"/>
      <c r="F116" s="938"/>
      <c r="G116" s="938"/>
      <c r="H116" s="938"/>
      <c r="I116" s="938"/>
      <c r="J116" s="938"/>
      <c r="K116" s="938"/>
    </row>
    <row r="117" spans="1:11" ht="16.5">
      <c r="A117" s="1238"/>
      <c r="B117" s="1239"/>
      <c r="C117" s="1240"/>
      <c r="D117" s="1238"/>
      <c r="E117" s="938"/>
      <c r="F117" s="938"/>
      <c r="G117" s="938"/>
      <c r="H117" s="938"/>
      <c r="I117" s="938"/>
      <c r="J117" s="938"/>
      <c r="K117" s="938"/>
    </row>
    <row r="118" spans="1:11" ht="16.5">
      <c r="A118" s="1238"/>
      <c r="B118" s="1239"/>
      <c r="C118" s="1240"/>
      <c r="D118" s="1238"/>
      <c r="E118" s="938"/>
      <c r="F118" s="938"/>
      <c r="G118" s="938"/>
      <c r="H118" s="938"/>
      <c r="I118" s="938"/>
      <c r="J118" s="938"/>
      <c r="K118" s="938"/>
    </row>
    <row r="119" spans="1:11" ht="16.5">
      <c r="A119" s="1238"/>
      <c r="B119" s="1239"/>
      <c r="C119" s="1240"/>
      <c r="D119" s="1238"/>
      <c r="E119" s="938"/>
      <c r="F119" s="938"/>
      <c r="G119" s="938"/>
      <c r="H119" s="938"/>
      <c r="I119" s="938"/>
      <c r="J119" s="938"/>
      <c r="K119" s="938"/>
    </row>
    <row r="120" spans="1:11" ht="16.5">
      <c r="A120" s="1238"/>
      <c r="B120" s="1239"/>
      <c r="C120" s="1240"/>
      <c r="D120" s="1238"/>
      <c r="E120" s="938"/>
      <c r="F120" s="938"/>
      <c r="G120" s="938"/>
      <c r="H120" s="938"/>
      <c r="I120" s="938"/>
      <c r="J120" s="938"/>
      <c r="K120" s="938"/>
    </row>
    <row r="121" spans="1:11" ht="16.5">
      <c r="A121" s="1238"/>
      <c r="B121" s="1239"/>
      <c r="C121" s="1240"/>
      <c r="D121" s="1238"/>
      <c r="E121" s="938"/>
      <c r="F121" s="938"/>
      <c r="G121" s="938"/>
      <c r="H121" s="938"/>
      <c r="I121" s="938"/>
      <c r="J121" s="938"/>
      <c r="K121" s="938"/>
    </row>
    <row r="122" spans="1:11" ht="16.5">
      <c r="A122" s="1238"/>
      <c r="B122" s="1239"/>
      <c r="C122" s="1240"/>
      <c r="D122" s="1238"/>
      <c r="E122" s="938"/>
      <c r="F122" s="938"/>
      <c r="G122" s="938"/>
      <c r="H122" s="938"/>
      <c r="I122" s="938"/>
      <c r="J122" s="938"/>
      <c r="K122" s="938"/>
    </row>
    <row r="123" spans="1:11" ht="16.5">
      <c r="A123" s="1238"/>
      <c r="B123" s="1239"/>
      <c r="C123" s="1240"/>
      <c r="D123" s="1238"/>
      <c r="E123" s="938"/>
      <c r="F123" s="938"/>
      <c r="G123" s="938"/>
      <c r="H123" s="938"/>
      <c r="I123" s="938"/>
      <c r="J123" s="938"/>
      <c r="K123" s="938"/>
    </row>
    <row r="124" spans="1:11" ht="16.5">
      <c r="A124" s="1238"/>
      <c r="B124" s="1239"/>
      <c r="C124" s="1240"/>
      <c r="D124" s="1238"/>
      <c r="E124" s="938"/>
      <c r="F124" s="938"/>
      <c r="G124" s="938"/>
      <c r="H124" s="938"/>
      <c r="I124" s="938"/>
      <c r="J124" s="938"/>
      <c r="K124" s="938"/>
    </row>
    <row r="125" spans="1:11" ht="16.5">
      <c r="A125" s="1238"/>
      <c r="B125" s="1239"/>
      <c r="C125" s="1240"/>
      <c r="D125" s="1238"/>
      <c r="E125" s="938"/>
      <c r="F125" s="938"/>
      <c r="G125" s="938"/>
      <c r="H125" s="938"/>
      <c r="I125" s="938"/>
      <c r="J125" s="938"/>
      <c r="K125" s="938"/>
    </row>
    <row r="126" spans="1:11" ht="16.5">
      <c r="A126" s="1238"/>
      <c r="B126" s="1239"/>
      <c r="C126" s="1240"/>
      <c r="D126" s="1238"/>
      <c r="E126" s="938"/>
      <c r="F126" s="938"/>
      <c r="G126" s="938"/>
      <c r="H126" s="938"/>
      <c r="I126" s="938"/>
      <c r="J126" s="938"/>
      <c r="K126" s="938"/>
    </row>
    <row r="127" spans="1:11" ht="16.5">
      <c r="A127" s="1238"/>
      <c r="B127" s="1239"/>
      <c r="C127" s="1240"/>
      <c r="D127" s="1238"/>
      <c r="E127" s="938"/>
      <c r="F127" s="938"/>
      <c r="G127" s="938"/>
      <c r="H127" s="938"/>
      <c r="I127" s="938"/>
      <c r="J127" s="938"/>
      <c r="K127" s="938"/>
    </row>
    <row r="128" spans="1:11" ht="16.5">
      <c r="A128" s="1238"/>
      <c r="B128" s="1239"/>
      <c r="C128" s="1240"/>
      <c r="D128" s="1238"/>
      <c r="E128" s="938"/>
      <c r="F128" s="938"/>
      <c r="G128" s="938"/>
      <c r="H128" s="938"/>
      <c r="I128" s="938"/>
      <c r="J128" s="938"/>
      <c r="K128" s="938"/>
    </row>
    <row r="129" spans="1:11" ht="16.5">
      <c r="A129" s="1238"/>
      <c r="B129" s="1239"/>
      <c r="C129" s="1240"/>
      <c r="D129" s="1238"/>
      <c r="E129" s="938"/>
      <c r="F129" s="938"/>
      <c r="G129" s="938"/>
      <c r="H129" s="938"/>
      <c r="I129" s="938"/>
      <c r="J129" s="938"/>
      <c r="K129" s="938"/>
    </row>
    <row r="130" spans="1:11" ht="16.5">
      <c r="A130" s="1238"/>
      <c r="B130" s="1239"/>
      <c r="C130" s="1240"/>
      <c r="D130" s="1238"/>
      <c r="E130" s="938"/>
      <c r="F130" s="938"/>
      <c r="G130" s="938"/>
      <c r="H130" s="938"/>
      <c r="I130" s="938"/>
      <c r="J130" s="938"/>
      <c r="K130" s="938"/>
    </row>
    <row r="131" spans="1:11" ht="16.5">
      <c r="A131" s="1238"/>
      <c r="B131" s="1239"/>
      <c r="C131" s="1240"/>
      <c r="D131" s="1238"/>
      <c r="E131" s="938"/>
      <c r="F131" s="938"/>
      <c r="G131" s="938"/>
      <c r="H131" s="938"/>
      <c r="I131" s="938"/>
      <c r="J131" s="938"/>
      <c r="K131" s="938"/>
    </row>
    <row r="132" spans="1:11" ht="16.5">
      <c r="A132" s="1238"/>
      <c r="B132" s="1239"/>
      <c r="C132" s="1240"/>
      <c r="D132" s="1238"/>
      <c r="E132" s="938"/>
      <c r="F132" s="938"/>
      <c r="G132" s="938"/>
      <c r="H132" s="938"/>
      <c r="I132" s="938"/>
      <c r="J132" s="938"/>
      <c r="K132" s="938"/>
    </row>
    <row r="133" spans="1:11" ht="16.5">
      <c r="A133" s="1238"/>
      <c r="B133" s="1239"/>
      <c r="C133" s="1240"/>
      <c r="D133" s="1238"/>
      <c r="E133" s="938"/>
      <c r="F133" s="938"/>
      <c r="G133" s="938"/>
      <c r="H133" s="938"/>
      <c r="I133" s="938"/>
      <c r="J133" s="938"/>
      <c r="K133" s="938"/>
    </row>
    <row r="134" spans="1:11" ht="16.5">
      <c r="A134" s="1238"/>
      <c r="B134" s="1239"/>
      <c r="C134" s="1240"/>
      <c r="D134" s="1238"/>
      <c r="E134" s="938"/>
      <c r="F134" s="938"/>
      <c r="G134" s="938"/>
      <c r="H134" s="938"/>
      <c r="I134" s="938"/>
      <c r="J134" s="938"/>
      <c r="K134" s="938"/>
    </row>
    <row r="135" spans="1:11" ht="16.5">
      <c r="A135" s="1238"/>
      <c r="B135" s="1239"/>
      <c r="C135" s="1240"/>
      <c r="D135" s="1238"/>
      <c r="E135" s="938"/>
      <c r="F135" s="938"/>
      <c r="G135" s="938"/>
      <c r="H135" s="938"/>
      <c r="I135" s="938"/>
      <c r="J135" s="938"/>
      <c r="K135" s="938"/>
    </row>
    <row r="136" spans="1:11" ht="16.5">
      <c r="A136" s="1238"/>
      <c r="B136" s="1239"/>
      <c r="C136" s="1240"/>
      <c r="D136" s="1238"/>
      <c r="E136" s="938"/>
      <c r="F136" s="938"/>
      <c r="G136" s="938"/>
      <c r="H136" s="938"/>
      <c r="I136" s="938"/>
      <c r="J136" s="938"/>
      <c r="K136" s="938"/>
    </row>
    <row r="137" spans="1:11" ht="16.5">
      <c r="A137" s="1238"/>
      <c r="B137" s="1239"/>
      <c r="C137" s="1240"/>
      <c r="D137" s="1238"/>
      <c r="E137" s="938"/>
      <c r="F137" s="938"/>
      <c r="G137" s="938"/>
      <c r="H137" s="938"/>
      <c r="I137" s="938"/>
      <c r="J137" s="938"/>
      <c r="K137" s="938"/>
    </row>
    <row r="138" spans="1:11" ht="16.5">
      <c r="A138" s="1238"/>
      <c r="B138" s="1239"/>
      <c r="C138" s="1240"/>
      <c r="D138" s="1238"/>
      <c r="E138" s="938"/>
      <c r="F138" s="938"/>
      <c r="G138" s="938"/>
      <c r="H138" s="938"/>
      <c r="I138" s="938"/>
      <c r="J138" s="938"/>
      <c r="K138" s="938"/>
    </row>
    <row r="139" spans="1:11" ht="16.5">
      <c r="A139" s="1238"/>
      <c r="B139" s="1239"/>
      <c r="C139" s="1240"/>
      <c r="D139" s="1238"/>
      <c r="E139" s="938"/>
      <c r="F139" s="938"/>
      <c r="G139" s="938"/>
      <c r="H139" s="938"/>
      <c r="I139" s="938"/>
      <c r="J139" s="938"/>
      <c r="K139" s="938"/>
    </row>
    <row r="140" spans="1:11" ht="16.5">
      <c r="A140" s="1238"/>
      <c r="B140" s="1239"/>
      <c r="C140" s="1240"/>
      <c r="D140" s="1238"/>
      <c r="E140" s="938"/>
      <c r="F140" s="938"/>
      <c r="G140" s="938"/>
      <c r="H140" s="938"/>
      <c r="I140" s="938"/>
      <c r="J140" s="938"/>
      <c r="K140" s="938"/>
    </row>
    <row r="141" spans="1:11" ht="16.5">
      <c r="A141" s="1238"/>
      <c r="B141" s="1239"/>
      <c r="C141" s="1240"/>
      <c r="D141" s="1238"/>
      <c r="E141" s="938"/>
      <c r="F141" s="938"/>
      <c r="G141" s="938"/>
      <c r="H141" s="938"/>
      <c r="I141" s="938"/>
      <c r="J141" s="938"/>
      <c r="K141" s="938"/>
    </row>
    <row r="142" spans="1:11" ht="16.5">
      <c r="A142" s="1238"/>
      <c r="B142" s="1239"/>
      <c r="C142" s="1240"/>
      <c r="D142" s="1238"/>
      <c r="E142" s="938"/>
      <c r="F142" s="938"/>
      <c r="G142" s="938"/>
      <c r="H142" s="938"/>
      <c r="I142" s="938"/>
      <c r="J142" s="938"/>
      <c r="K142" s="938"/>
    </row>
    <row r="143" spans="1:11" ht="16.5">
      <c r="A143" s="1238"/>
      <c r="B143" s="1239"/>
      <c r="C143" s="1240"/>
      <c r="D143" s="1238"/>
      <c r="E143" s="938"/>
      <c r="F143" s="938"/>
      <c r="G143" s="938"/>
      <c r="H143" s="938"/>
      <c r="I143" s="938"/>
      <c r="J143" s="938"/>
      <c r="K143" s="938"/>
    </row>
    <row r="144" spans="1:11" ht="16.5">
      <c r="A144" s="1238"/>
      <c r="B144" s="1239"/>
      <c r="C144" s="1240"/>
      <c r="D144" s="1238"/>
      <c r="E144" s="938"/>
      <c r="F144" s="938"/>
      <c r="G144" s="938"/>
      <c r="H144" s="938"/>
      <c r="I144" s="938"/>
      <c r="J144" s="938"/>
      <c r="K144" s="938"/>
    </row>
    <row r="145" spans="1:11" ht="16.5">
      <c r="A145" s="1238"/>
      <c r="B145" s="1239"/>
      <c r="C145" s="1240"/>
      <c r="D145" s="1238"/>
      <c r="E145" s="938"/>
      <c r="F145" s="938"/>
      <c r="G145" s="938"/>
      <c r="H145" s="938"/>
      <c r="I145" s="938"/>
      <c r="J145" s="938"/>
      <c r="K145" s="938"/>
    </row>
    <row r="146" spans="1:11" ht="16.5">
      <c r="A146" s="1238"/>
      <c r="B146" s="1239"/>
      <c r="C146" s="1240"/>
      <c r="D146" s="1238"/>
      <c r="E146" s="938"/>
      <c r="F146" s="938"/>
      <c r="G146" s="938"/>
      <c r="H146" s="938"/>
      <c r="I146" s="938"/>
      <c r="J146" s="938"/>
      <c r="K146" s="938"/>
    </row>
    <row r="147" spans="1:11" ht="16.5">
      <c r="A147" s="1238"/>
      <c r="B147" s="1239"/>
      <c r="C147" s="1240"/>
      <c r="D147" s="1238"/>
      <c r="E147" s="938"/>
      <c r="F147" s="938"/>
      <c r="G147" s="938"/>
      <c r="H147" s="938"/>
      <c r="I147" s="938"/>
      <c r="J147" s="938"/>
      <c r="K147" s="938"/>
    </row>
    <row r="148" spans="1:11" ht="16.5">
      <c r="A148" s="1238"/>
      <c r="B148" s="1239"/>
      <c r="C148" s="1240"/>
      <c r="D148" s="1238"/>
      <c r="E148" s="938"/>
      <c r="F148" s="938"/>
      <c r="G148" s="938"/>
      <c r="H148" s="938"/>
      <c r="I148" s="938"/>
      <c r="J148" s="938"/>
      <c r="K148" s="938"/>
    </row>
    <row r="149" spans="1:11" ht="16.5">
      <c r="A149" s="1238"/>
      <c r="B149" s="1239"/>
      <c r="C149" s="1240"/>
      <c r="D149" s="1238"/>
      <c r="E149" s="938"/>
      <c r="F149" s="938"/>
      <c r="G149" s="938"/>
      <c r="H149" s="938"/>
      <c r="I149" s="938"/>
      <c r="J149" s="938"/>
      <c r="K149" s="938"/>
    </row>
    <row r="150" spans="1:11" ht="16.5">
      <c r="A150" s="1238"/>
      <c r="B150" s="1239"/>
      <c r="C150" s="1240"/>
      <c r="D150" s="1238"/>
      <c r="E150" s="938"/>
      <c r="F150" s="938"/>
      <c r="G150" s="938"/>
      <c r="H150" s="938"/>
      <c r="I150" s="938"/>
      <c r="J150" s="938"/>
      <c r="K150" s="938"/>
    </row>
    <row r="151" spans="1:11" ht="16.5">
      <c r="A151" s="1238"/>
      <c r="B151" s="1239"/>
      <c r="C151" s="1240"/>
      <c r="D151" s="1238"/>
      <c r="E151" s="938"/>
      <c r="F151" s="938"/>
      <c r="G151" s="938"/>
      <c r="H151" s="938"/>
      <c r="I151" s="938"/>
      <c r="J151" s="938"/>
      <c r="K151" s="938"/>
    </row>
    <row r="152" spans="1:11" ht="16.5">
      <c r="A152" s="1238"/>
      <c r="B152" s="1239"/>
      <c r="C152" s="1240"/>
      <c r="D152" s="1238"/>
      <c r="E152" s="938"/>
      <c r="F152" s="938"/>
      <c r="G152" s="938"/>
      <c r="H152" s="938"/>
      <c r="I152" s="938"/>
      <c r="J152" s="938"/>
      <c r="K152" s="938"/>
    </row>
    <row r="153" spans="1:11" ht="16.5">
      <c r="A153" s="1238"/>
      <c r="B153" s="1239"/>
      <c r="C153" s="1240"/>
      <c r="D153" s="1238"/>
      <c r="E153" s="938"/>
      <c r="F153" s="938"/>
      <c r="G153" s="938"/>
      <c r="H153" s="938"/>
      <c r="I153" s="938"/>
      <c r="J153" s="938"/>
      <c r="K153" s="938"/>
    </row>
    <row r="154" spans="1:11" ht="16.5">
      <c r="A154" s="1238"/>
      <c r="B154" s="1239"/>
      <c r="C154" s="1240"/>
      <c r="D154" s="1238"/>
      <c r="E154" s="938"/>
      <c r="F154" s="938"/>
      <c r="G154" s="938"/>
      <c r="H154" s="938"/>
      <c r="I154" s="938"/>
      <c r="J154" s="938"/>
      <c r="K154" s="938"/>
    </row>
    <row r="155" spans="1:11" ht="16.5">
      <c r="A155" s="1238"/>
      <c r="B155" s="1239"/>
      <c r="C155" s="1240"/>
      <c r="D155" s="1238"/>
      <c r="E155" s="938"/>
      <c r="F155" s="938"/>
      <c r="G155" s="938"/>
      <c r="H155" s="938"/>
      <c r="I155" s="938"/>
      <c r="J155" s="938"/>
      <c r="K155" s="938"/>
    </row>
    <row r="156" spans="1:11" ht="16.5">
      <c r="A156" s="1238"/>
      <c r="B156" s="1239"/>
      <c r="C156" s="1240"/>
      <c r="D156" s="1238"/>
      <c r="E156" s="938"/>
      <c r="F156" s="938"/>
      <c r="G156" s="938"/>
      <c r="H156" s="938"/>
      <c r="I156" s="938"/>
      <c r="J156" s="938"/>
      <c r="K156" s="938"/>
    </row>
    <row r="157" spans="1:11" ht="16.5">
      <c r="A157" s="1238"/>
      <c r="B157" s="1239"/>
      <c r="C157" s="1240"/>
      <c r="D157" s="1238"/>
      <c r="E157" s="938"/>
      <c r="F157" s="938"/>
      <c r="G157" s="938"/>
      <c r="H157" s="938"/>
      <c r="I157" s="938"/>
      <c r="J157" s="938"/>
      <c r="K157" s="938"/>
    </row>
    <row r="158" spans="1:11" ht="16.5">
      <c r="A158" s="1238"/>
      <c r="B158" s="1239"/>
      <c r="C158" s="1240"/>
      <c r="D158" s="1238"/>
      <c r="E158" s="938"/>
      <c r="F158" s="938"/>
      <c r="G158" s="938"/>
      <c r="H158" s="938"/>
      <c r="I158" s="938"/>
      <c r="J158" s="938"/>
      <c r="K158" s="938"/>
    </row>
    <row r="159" spans="1:11" ht="16.5">
      <c r="A159" s="1238"/>
      <c r="B159" s="1239"/>
      <c r="C159" s="1240"/>
      <c r="D159" s="1238"/>
      <c r="E159" s="938"/>
      <c r="F159" s="938"/>
      <c r="G159" s="938"/>
      <c r="H159" s="938"/>
      <c r="I159" s="938"/>
      <c r="J159" s="938"/>
      <c r="K159" s="938"/>
    </row>
    <row r="160" spans="1:11" ht="16.5">
      <c r="A160" s="1238"/>
      <c r="B160" s="1239"/>
      <c r="C160" s="1240"/>
      <c r="D160" s="1238"/>
      <c r="E160" s="938"/>
      <c r="F160" s="938"/>
      <c r="G160" s="938"/>
      <c r="H160" s="938"/>
      <c r="I160" s="938"/>
      <c r="J160" s="938"/>
      <c r="K160" s="938"/>
    </row>
    <row r="161" spans="1:11" ht="16.5">
      <c r="A161" s="1238"/>
      <c r="B161" s="1239"/>
      <c r="C161" s="1240"/>
      <c r="D161" s="1238"/>
      <c r="E161" s="938"/>
      <c r="F161" s="938"/>
      <c r="G161" s="938"/>
      <c r="H161" s="938"/>
      <c r="I161" s="938"/>
      <c r="J161" s="938"/>
      <c r="K161" s="938"/>
    </row>
    <row r="162" spans="1:11" ht="16.5">
      <c r="A162" s="1238"/>
      <c r="B162" s="1239"/>
      <c r="C162" s="1240"/>
      <c r="D162" s="1238"/>
      <c r="E162" s="938"/>
      <c r="F162" s="938"/>
      <c r="G162" s="938"/>
      <c r="H162" s="938"/>
      <c r="I162" s="938"/>
      <c r="J162" s="938"/>
      <c r="K162" s="938"/>
    </row>
    <row r="163" spans="1:11" ht="16.5">
      <c r="A163" s="1238"/>
      <c r="B163" s="1239"/>
      <c r="C163" s="1240"/>
      <c r="D163" s="1238"/>
      <c r="E163" s="938"/>
      <c r="F163" s="938"/>
      <c r="G163" s="938"/>
      <c r="H163" s="938"/>
      <c r="I163" s="938"/>
      <c r="J163" s="938"/>
      <c r="K163" s="938"/>
    </row>
    <row r="164" spans="1:11" ht="16.5">
      <c r="A164" s="1238"/>
      <c r="B164" s="1239"/>
      <c r="C164" s="1240"/>
      <c r="D164" s="1238"/>
      <c r="E164" s="938"/>
      <c r="F164" s="938"/>
      <c r="G164" s="938"/>
      <c r="H164" s="938"/>
      <c r="I164" s="938"/>
      <c r="J164" s="938"/>
      <c r="K164" s="938"/>
    </row>
    <row r="165" spans="1:11" ht="16.5">
      <c r="A165" s="1238"/>
      <c r="B165" s="1239"/>
      <c r="C165" s="1240"/>
      <c r="D165" s="1238"/>
      <c r="E165" s="938"/>
      <c r="F165" s="938"/>
      <c r="G165" s="938"/>
      <c r="H165" s="938"/>
      <c r="I165" s="938"/>
      <c r="J165" s="938"/>
      <c r="K165" s="938"/>
    </row>
    <row r="166" spans="1:11" ht="16.5">
      <c r="A166" s="1238"/>
      <c r="B166" s="1239"/>
      <c r="C166" s="1240"/>
      <c r="D166" s="1238"/>
      <c r="E166" s="938"/>
      <c r="F166" s="938"/>
      <c r="G166" s="938"/>
      <c r="H166" s="938"/>
      <c r="I166" s="938"/>
      <c r="J166" s="938"/>
      <c r="K166" s="938"/>
    </row>
    <row r="167" spans="1:11" ht="16.5">
      <c r="A167" s="1238"/>
      <c r="B167" s="1239"/>
      <c r="C167" s="1240"/>
      <c r="D167" s="1238"/>
      <c r="E167" s="938"/>
      <c r="F167" s="938"/>
      <c r="G167" s="938"/>
      <c r="H167" s="938"/>
      <c r="I167" s="938"/>
      <c r="J167" s="938"/>
      <c r="K167" s="938"/>
    </row>
    <row r="168" spans="1:11" ht="16.5">
      <c r="A168" s="1238"/>
      <c r="B168" s="1239"/>
      <c r="C168" s="1240"/>
      <c r="D168" s="1238"/>
      <c r="E168" s="938"/>
      <c r="F168" s="938"/>
      <c r="G168" s="938"/>
      <c r="H168" s="938"/>
      <c r="I168" s="938"/>
      <c r="J168" s="938"/>
      <c r="K168" s="938"/>
    </row>
    <row r="169" spans="1:11" ht="16.5">
      <c r="A169" s="1238"/>
      <c r="B169" s="1239"/>
      <c r="C169" s="1240"/>
      <c r="D169" s="1238"/>
      <c r="E169" s="938"/>
      <c r="F169" s="938"/>
      <c r="G169" s="938"/>
      <c r="H169" s="938"/>
      <c r="I169" s="938"/>
      <c r="J169" s="938"/>
      <c r="K169" s="938"/>
    </row>
    <row r="170" spans="1:11" ht="16.5">
      <c r="A170" s="1238"/>
      <c r="B170" s="1239"/>
      <c r="C170" s="1240"/>
      <c r="D170" s="1238"/>
      <c r="E170" s="938"/>
      <c r="F170" s="938"/>
      <c r="G170" s="938"/>
      <c r="H170" s="938"/>
      <c r="I170" s="938"/>
      <c r="J170" s="938"/>
      <c r="K170" s="938"/>
    </row>
    <row r="171" spans="1:11" ht="16.5">
      <c r="A171" s="1238"/>
      <c r="B171" s="1239"/>
      <c r="C171" s="1240"/>
      <c r="D171" s="1238"/>
      <c r="E171" s="938"/>
      <c r="F171" s="938"/>
      <c r="G171" s="938"/>
      <c r="H171" s="938"/>
      <c r="I171" s="938"/>
      <c r="J171" s="938"/>
      <c r="K171" s="938"/>
    </row>
    <row r="172" spans="1:11" ht="16.5">
      <c r="A172" s="1238"/>
      <c r="B172" s="1239"/>
      <c r="C172" s="1240"/>
      <c r="D172" s="1238"/>
      <c r="E172" s="938"/>
      <c r="F172" s="938"/>
      <c r="G172" s="938"/>
      <c r="H172" s="938"/>
      <c r="I172" s="938"/>
      <c r="J172" s="938"/>
      <c r="K172" s="938"/>
    </row>
    <row r="173" spans="1:11" ht="16.5">
      <c r="A173" s="1238"/>
      <c r="B173" s="1239"/>
      <c r="C173" s="1240"/>
      <c r="D173" s="1238"/>
      <c r="E173" s="938"/>
      <c r="F173" s="938"/>
      <c r="G173" s="938"/>
      <c r="H173" s="938"/>
      <c r="I173" s="938"/>
      <c r="J173" s="938"/>
      <c r="K173" s="938"/>
    </row>
    <row r="174" spans="1:11" ht="16.5">
      <c r="A174" s="1238"/>
      <c r="B174" s="1239"/>
      <c r="C174" s="1240"/>
      <c r="D174" s="1238"/>
      <c r="E174" s="938"/>
      <c r="F174" s="938"/>
      <c r="G174" s="938"/>
      <c r="H174" s="938"/>
      <c r="I174" s="938"/>
      <c r="J174" s="938"/>
      <c r="K174" s="938"/>
    </row>
    <row r="175" spans="1:11" ht="16.5">
      <c r="A175" s="1238"/>
      <c r="B175" s="1239"/>
      <c r="C175" s="1240"/>
      <c r="D175" s="1238"/>
      <c r="E175" s="938"/>
      <c r="F175" s="938"/>
      <c r="G175" s="938"/>
      <c r="H175" s="938"/>
      <c r="I175" s="938"/>
      <c r="J175" s="938"/>
      <c r="K175" s="938"/>
    </row>
    <row r="176" spans="1:11" ht="16.5">
      <c r="A176" s="1238"/>
      <c r="B176" s="1239"/>
      <c r="C176" s="1240"/>
      <c r="D176" s="1238"/>
      <c r="E176" s="938"/>
      <c r="F176" s="938"/>
      <c r="G176" s="938"/>
      <c r="H176" s="938"/>
      <c r="I176" s="938"/>
      <c r="J176" s="938"/>
      <c r="K176" s="938"/>
    </row>
    <row r="177" spans="1:11" ht="16.5">
      <c r="A177" s="1238"/>
      <c r="B177" s="1239"/>
      <c r="C177" s="1240"/>
      <c r="D177" s="1238"/>
      <c r="E177" s="938"/>
      <c r="F177" s="938"/>
      <c r="G177" s="938"/>
      <c r="H177" s="938"/>
      <c r="I177" s="938"/>
      <c r="J177" s="938"/>
      <c r="K177" s="938"/>
    </row>
    <row r="178" spans="1:11" ht="16.5">
      <c r="A178" s="1238"/>
      <c r="B178" s="1239"/>
      <c r="C178" s="1240"/>
      <c r="D178" s="1238"/>
      <c r="E178" s="938"/>
      <c r="F178" s="938"/>
      <c r="G178" s="938"/>
      <c r="H178" s="938"/>
      <c r="I178" s="938"/>
      <c r="J178" s="938"/>
      <c r="K178" s="938"/>
    </row>
    <row r="179" spans="1:11" ht="16.5">
      <c r="A179" s="1238"/>
      <c r="B179" s="1239"/>
      <c r="C179" s="1240"/>
      <c r="D179" s="1238"/>
      <c r="E179" s="938"/>
      <c r="F179" s="938"/>
      <c r="G179" s="938"/>
      <c r="H179" s="938"/>
      <c r="I179" s="938"/>
      <c r="J179" s="938"/>
      <c r="K179" s="938"/>
    </row>
    <row r="180" spans="1:11" ht="16.5">
      <c r="A180" s="1238"/>
      <c r="B180" s="1239"/>
      <c r="C180" s="1240"/>
      <c r="D180" s="1238"/>
      <c r="E180" s="938"/>
      <c r="F180" s="938"/>
      <c r="G180" s="938"/>
      <c r="H180" s="938"/>
      <c r="I180" s="938"/>
      <c r="J180" s="938"/>
      <c r="K180" s="938"/>
    </row>
    <row r="181" spans="1:11" ht="16.5">
      <c r="A181" s="1238"/>
      <c r="B181" s="1239"/>
      <c r="C181" s="1240"/>
      <c r="D181" s="1238"/>
      <c r="E181" s="938"/>
      <c r="F181" s="938"/>
      <c r="G181" s="938"/>
      <c r="H181" s="938"/>
      <c r="I181" s="938"/>
      <c r="J181" s="938"/>
      <c r="K181" s="938"/>
    </row>
    <row r="182" spans="1:11" ht="16.5">
      <c r="A182" s="1238"/>
      <c r="B182" s="1239"/>
      <c r="C182" s="1240"/>
      <c r="D182" s="1238"/>
      <c r="E182" s="938"/>
      <c r="F182" s="938"/>
      <c r="G182" s="938"/>
      <c r="H182" s="938"/>
      <c r="I182" s="938"/>
      <c r="J182" s="938"/>
      <c r="K182" s="938"/>
    </row>
    <row r="183" spans="1:11" ht="16.5">
      <c r="A183" s="1238"/>
      <c r="B183" s="1239"/>
      <c r="C183" s="1240"/>
      <c r="D183" s="1238"/>
      <c r="E183" s="938"/>
      <c r="F183" s="938"/>
      <c r="G183" s="938"/>
      <c r="H183" s="938"/>
      <c r="I183" s="938"/>
      <c r="J183" s="938"/>
      <c r="K183" s="938"/>
    </row>
    <row r="184" spans="1:11" ht="16.5">
      <c r="A184" s="1238"/>
      <c r="B184" s="1239"/>
      <c r="C184" s="1240"/>
      <c r="D184" s="1238"/>
      <c r="E184" s="938"/>
      <c r="F184" s="938"/>
      <c r="G184" s="938"/>
      <c r="H184" s="938"/>
      <c r="I184" s="938"/>
      <c r="J184" s="938"/>
      <c r="K184" s="938"/>
    </row>
    <row r="185" spans="1:11" ht="16.5">
      <c r="A185" s="1238"/>
      <c r="B185" s="1239"/>
      <c r="C185" s="1240"/>
      <c r="D185" s="1238"/>
      <c r="E185" s="938"/>
      <c r="F185" s="938"/>
      <c r="G185" s="938"/>
      <c r="H185" s="938"/>
      <c r="I185" s="938"/>
      <c r="J185" s="938"/>
      <c r="K185" s="938"/>
    </row>
    <row r="186" spans="1:11" ht="16.5">
      <c r="A186" s="1238"/>
      <c r="B186" s="1239"/>
      <c r="C186" s="1240"/>
      <c r="D186" s="1238"/>
      <c r="E186" s="938"/>
      <c r="F186" s="938"/>
      <c r="G186" s="938"/>
      <c r="H186" s="938"/>
      <c r="I186" s="938"/>
      <c r="J186" s="938"/>
      <c r="K186" s="938"/>
    </row>
    <row r="187" spans="1:11" ht="16.5">
      <c r="A187" s="1238"/>
      <c r="B187" s="1239"/>
      <c r="C187" s="1240"/>
      <c r="D187" s="1238"/>
      <c r="E187" s="938"/>
      <c r="F187" s="938"/>
      <c r="G187" s="938"/>
      <c r="H187" s="938"/>
      <c r="I187" s="938"/>
      <c r="J187" s="938"/>
      <c r="K187" s="938"/>
    </row>
    <row r="188" spans="1:11" ht="16.5">
      <c r="A188" s="1238"/>
      <c r="B188" s="1239"/>
      <c r="C188" s="1240"/>
      <c r="D188" s="1238"/>
      <c r="E188" s="938"/>
      <c r="F188" s="938"/>
      <c r="G188" s="938"/>
      <c r="H188" s="938"/>
      <c r="I188" s="938"/>
      <c r="J188" s="938"/>
      <c r="K188" s="938"/>
    </row>
    <row r="189" spans="1:11" ht="16.5">
      <c r="A189" s="1238"/>
      <c r="B189" s="1239"/>
      <c r="C189" s="1240"/>
      <c r="D189" s="1238"/>
      <c r="E189" s="938"/>
      <c r="F189" s="938"/>
      <c r="G189" s="938"/>
      <c r="H189" s="938"/>
      <c r="I189" s="938"/>
      <c r="J189" s="938"/>
      <c r="K189" s="938"/>
    </row>
    <row r="190" spans="1:11" ht="16.5">
      <c r="A190" s="1238"/>
      <c r="B190" s="1239"/>
      <c r="C190" s="1240"/>
      <c r="D190" s="1238"/>
      <c r="E190" s="938"/>
      <c r="F190" s="938"/>
      <c r="G190" s="938"/>
      <c r="H190" s="938"/>
      <c r="I190" s="938"/>
      <c r="J190" s="938"/>
      <c r="K190" s="938"/>
    </row>
    <row r="191" spans="1:11" ht="16.5">
      <c r="A191" s="1238"/>
      <c r="B191" s="1239"/>
      <c r="C191" s="1240"/>
      <c r="D191" s="1238"/>
      <c r="E191" s="938"/>
      <c r="F191" s="938"/>
      <c r="G191" s="938"/>
      <c r="H191" s="938"/>
      <c r="I191" s="938"/>
      <c r="J191" s="938"/>
      <c r="K191" s="938"/>
    </row>
    <row r="192" spans="1:11" ht="16.5">
      <c r="A192" s="1238"/>
      <c r="B192" s="1239"/>
      <c r="C192" s="1240"/>
      <c r="D192" s="1238"/>
      <c r="E192" s="938"/>
      <c r="F192" s="938"/>
      <c r="G192" s="938"/>
      <c r="H192" s="938"/>
      <c r="I192" s="938"/>
      <c r="J192" s="938"/>
      <c r="K192" s="938"/>
    </row>
    <row r="193" spans="1:11" ht="16.5">
      <c r="A193" s="1238"/>
      <c r="B193" s="1239"/>
      <c r="C193" s="1240"/>
      <c r="D193" s="1238"/>
      <c r="E193" s="938"/>
      <c r="F193" s="938"/>
      <c r="G193" s="938"/>
      <c r="H193" s="938"/>
      <c r="I193" s="938"/>
      <c r="J193" s="938"/>
      <c r="K193" s="938"/>
    </row>
    <row r="194" spans="1:11" ht="16.5">
      <c r="A194" s="1238"/>
      <c r="B194" s="1239"/>
      <c r="C194" s="1240"/>
      <c r="D194" s="1238"/>
      <c r="E194" s="938"/>
      <c r="F194" s="938"/>
      <c r="G194" s="938"/>
      <c r="H194" s="938"/>
      <c r="I194" s="938"/>
      <c r="J194" s="938"/>
      <c r="K194" s="938"/>
    </row>
    <row r="195" spans="1:11" ht="16.5">
      <c r="A195" s="1238"/>
      <c r="B195" s="1239"/>
      <c r="C195" s="1240"/>
      <c r="D195" s="1238"/>
      <c r="E195" s="938"/>
      <c r="F195" s="938"/>
      <c r="G195" s="938"/>
      <c r="H195" s="938"/>
      <c r="I195" s="938"/>
      <c r="J195" s="938"/>
      <c r="K195" s="938"/>
    </row>
    <row r="196" spans="1:11" ht="16.5">
      <c r="A196" s="1238"/>
      <c r="B196" s="1239"/>
      <c r="C196" s="1240"/>
      <c r="D196" s="1238"/>
      <c r="E196" s="938"/>
      <c r="F196" s="938"/>
      <c r="G196" s="938"/>
      <c r="H196" s="938"/>
      <c r="I196" s="938"/>
      <c r="J196" s="938"/>
      <c r="K196" s="938"/>
    </row>
    <row r="197" spans="1:11" ht="16.5">
      <c r="A197" s="1238"/>
      <c r="B197" s="1239"/>
      <c r="C197" s="1240"/>
      <c r="D197" s="1238"/>
      <c r="E197" s="938"/>
      <c r="F197" s="938"/>
      <c r="G197" s="938"/>
      <c r="H197" s="938"/>
      <c r="I197" s="938"/>
      <c r="J197" s="938"/>
      <c r="K197" s="938"/>
    </row>
    <row r="198" spans="1:11" ht="16.5">
      <c r="A198" s="1238"/>
      <c r="B198" s="1239"/>
      <c r="C198" s="1240"/>
      <c r="D198" s="1238"/>
      <c r="E198" s="938"/>
      <c r="F198" s="938"/>
      <c r="G198" s="938"/>
      <c r="H198" s="938"/>
      <c r="I198" s="938"/>
      <c r="J198" s="938"/>
      <c r="K198" s="938"/>
    </row>
    <row r="199" spans="1:11" ht="16.5">
      <c r="A199" s="1238"/>
      <c r="B199" s="1239"/>
      <c r="C199" s="1240"/>
      <c r="D199" s="1238"/>
      <c r="E199" s="938"/>
      <c r="F199" s="938"/>
      <c r="G199" s="938"/>
      <c r="H199" s="938"/>
      <c r="I199" s="938"/>
      <c r="J199" s="938"/>
      <c r="K199" s="938"/>
    </row>
    <row r="200" spans="1:11" ht="16.5">
      <c r="A200" s="1238"/>
      <c r="B200" s="1239"/>
      <c r="C200" s="1240"/>
      <c r="D200" s="1238"/>
      <c r="E200" s="938"/>
      <c r="F200" s="938"/>
      <c r="G200" s="938"/>
      <c r="H200" s="938"/>
      <c r="I200" s="938"/>
      <c r="J200" s="938"/>
      <c r="K200" s="938"/>
    </row>
    <row r="201" spans="1:11" ht="16.5">
      <c r="A201" s="1238"/>
      <c r="B201" s="1239"/>
      <c r="C201" s="1240"/>
      <c r="D201" s="1238"/>
      <c r="E201" s="938"/>
      <c r="F201" s="938"/>
      <c r="G201" s="938"/>
      <c r="H201" s="938"/>
      <c r="I201" s="938"/>
      <c r="J201" s="938"/>
      <c r="K201" s="938"/>
    </row>
    <row r="202" spans="1:11" ht="16.5">
      <c r="A202" s="1238"/>
      <c r="B202" s="1239"/>
      <c r="C202" s="1240"/>
      <c r="D202" s="1238"/>
      <c r="E202" s="938"/>
      <c r="F202" s="938"/>
      <c r="G202" s="938"/>
      <c r="H202" s="938"/>
      <c r="I202" s="938"/>
      <c r="J202" s="938"/>
      <c r="K202" s="938"/>
    </row>
    <row r="203" spans="1:11" ht="16.5">
      <c r="A203" s="1238"/>
      <c r="B203" s="1239"/>
      <c r="C203" s="1240"/>
      <c r="D203" s="1238"/>
      <c r="E203" s="938"/>
      <c r="F203" s="938"/>
      <c r="G203" s="938"/>
      <c r="H203" s="938"/>
      <c r="I203" s="938"/>
      <c r="J203" s="938"/>
      <c r="K203" s="938"/>
    </row>
    <row r="204" spans="1:11" ht="16.5">
      <c r="A204" s="1238"/>
      <c r="B204" s="1239"/>
      <c r="C204" s="1240"/>
      <c r="D204" s="1238"/>
      <c r="E204" s="938"/>
      <c r="F204" s="938"/>
      <c r="G204" s="938"/>
      <c r="H204" s="938"/>
      <c r="I204" s="938"/>
      <c r="J204" s="938"/>
      <c r="K204" s="938"/>
    </row>
    <row r="205" spans="1:11" ht="16.5">
      <c r="A205" s="1238"/>
      <c r="B205" s="1239"/>
      <c r="C205" s="1240"/>
      <c r="D205" s="1238"/>
      <c r="E205" s="938"/>
      <c r="F205" s="938"/>
      <c r="G205" s="938"/>
      <c r="H205" s="938"/>
      <c r="I205" s="938"/>
      <c r="J205" s="938"/>
      <c r="K205" s="938"/>
    </row>
    <row r="206" spans="1:11" ht="16.5">
      <c r="A206" s="1238"/>
      <c r="B206" s="1239"/>
      <c r="C206" s="1240"/>
      <c r="D206" s="1238"/>
      <c r="E206" s="938"/>
      <c r="F206" s="938"/>
      <c r="G206" s="938"/>
      <c r="H206" s="938"/>
      <c r="I206" s="938"/>
      <c r="J206" s="938"/>
      <c r="K206" s="938"/>
    </row>
    <row r="207" spans="1:11" ht="16.5">
      <c r="A207" s="1238"/>
      <c r="B207" s="1239"/>
      <c r="C207" s="1240"/>
      <c r="D207" s="1238"/>
      <c r="E207" s="938"/>
      <c r="F207" s="938"/>
      <c r="G207" s="938"/>
      <c r="H207" s="938"/>
      <c r="I207" s="938"/>
      <c r="J207" s="938"/>
      <c r="K207" s="938"/>
    </row>
    <row r="208" spans="1:11" ht="16.5">
      <c r="A208" s="1238"/>
      <c r="B208" s="1239"/>
      <c r="C208" s="1240"/>
      <c r="D208" s="1238"/>
      <c r="E208" s="938"/>
      <c r="F208" s="938"/>
      <c r="G208" s="938"/>
      <c r="H208" s="938"/>
      <c r="I208" s="938"/>
      <c r="J208" s="938"/>
      <c r="K208" s="938"/>
    </row>
    <row r="209" spans="1:11" ht="16.5">
      <c r="A209" s="1238"/>
      <c r="B209" s="1239"/>
      <c r="C209" s="1240"/>
      <c r="D209" s="1238"/>
      <c r="E209" s="938"/>
      <c r="F209" s="938"/>
      <c r="G209" s="938"/>
      <c r="H209" s="938"/>
      <c r="I209" s="938"/>
      <c r="J209" s="938"/>
      <c r="K209" s="938"/>
    </row>
    <row r="210" spans="1:11" ht="16.5">
      <c r="A210" s="1238"/>
      <c r="B210" s="1239"/>
      <c r="C210" s="1240"/>
      <c r="D210" s="1238"/>
      <c r="E210" s="938"/>
      <c r="F210" s="938"/>
      <c r="G210" s="938"/>
      <c r="H210" s="938"/>
      <c r="I210" s="938"/>
      <c r="J210" s="938"/>
      <c r="K210" s="938"/>
    </row>
    <row r="211" spans="1:11" ht="16.5">
      <c r="A211" s="1238"/>
      <c r="B211" s="1239"/>
      <c r="C211" s="1240"/>
      <c r="D211" s="1238"/>
      <c r="E211" s="938"/>
      <c r="F211" s="938"/>
      <c r="G211" s="938"/>
      <c r="H211" s="938"/>
      <c r="I211" s="938"/>
      <c r="J211" s="938"/>
      <c r="K211" s="938"/>
    </row>
    <row r="212" spans="1:11" ht="16.5">
      <c r="A212" s="1238"/>
      <c r="B212" s="1239"/>
      <c r="C212" s="1240"/>
      <c r="D212" s="1238"/>
      <c r="E212" s="938"/>
      <c r="F212" s="938"/>
      <c r="G212" s="938"/>
      <c r="H212" s="938"/>
      <c r="I212" s="938"/>
      <c r="J212" s="938"/>
      <c r="K212" s="938"/>
    </row>
    <row r="213" spans="1:11" ht="16.5">
      <c r="A213" s="1238"/>
      <c r="B213" s="1239"/>
      <c r="C213" s="1240"/>
      <c r="D213" s="1238"/>
      <c r="E213" s="938"/>
      <c r="F213" s="938"/>
      <c r="G213" s="938"/>
      <c r="H213" s="938"/>
      <c r="I213" s="938"/>
      <c r="J213" s="938"/>
      <c r="K213" s="938"/>
    </row>
    <row r="214" spans="1:11" ht="16.5">
      <c r="A214" s="1238"/>
      <c r="B214" s="1239"/>
      <c r="C214" s="1240"/>
      <c r="D214" s="1238"/>
      <c r="E214" s="938"/>
      <c r="F214" s="938"/>
      <c r="G214" s="938"/>
      <c r="H214" s="938"/>
      <c r="I214" s="938"/>
      <c r="J214" s="938"/>
      <c r="K214" s="938"/>
    </row>
    <row r="215" spans="1:11" ht="16.5">
      <c r="A215" s="1238"/>
      <c r="B215" s="1239"/>
      <c r="C215" s="1240"/>
      <c r="D215" s="1238"/>
      <c r="E215" s="938"/>
      <c r="F215" s="938"/>
      <c r="G215" s="938"/>
      <c r="H215" s="938"/>
      <c r="I215" s="938"/>
      <c r="J215" s="938"/>
      <c r="K215" s="938"/>
    </row>
    <row r="216" spans="1:11" ht="16.5">
      <c r="A216" s="1238"/>
      <c r="B216" s="1239"/>
      <c r="C216" s="1240"/>
      <c r="D216" s="1238"/>
      <c r="E216" s="938"/>
      <c r="F216" s="938"/>
      <c r="G216" s="938"/>
      <c r="H216" s="938"/>
      <c r="I216" s="938"/>
      <c r="J216" s="938"/>
      <c r="K216" s="938"/>
    </row>
    <row r="217" spans="1:11" ht="16.5">
      <c r="A217" s="1238"/>
      <c r="B217" s="1239"/>
      <c r="C217" s="1240"/>
      <c r="D217" s="1238"/>
      <c r="E217" s="938"/>
      <c r="F217" s="938"/>
      <c r="G217" s="938"/>
      <c r="H217" s="938"/>
      <c r="I217" s="938"/>
      <c r="J217" s="938"/>
      <c r="K217" s="938"/>
    </row>
    <row r="218" spans="1:11" ht="16.5">
      <c r="A218" s="1238"/>
      <c r="B218" s="1239"/>
      <c r="C218" s="1240"/>
      <c r="D218" s="1238"/>
      <c r="E218" s="938"/>
      <c r="F218" s="938"/>
      <c r="G218" s="938"/>
      <c r="H218" s="938"/>
      <c r="I218" s="938"/>
      <c r="J218" s="938"/>
      <c r="K218" s="938"/>
    </row>
    <row r="219" spans="1:11" ht="16.5">
      <c r="A219" s="1238"/>
      <c r="B219" s="1239"/>
      <c r="C219" s="1240"/>
      <c r="D219" s="1238"/>
      <c r="E219" s="938"/>
      <c r="F219" s="938"/>
      <c r="G219" s="938"/>
      <c r="H219" s="938"/>
      <c r="I219" s="938"/>
      <c r="J219" s="938"/>
      <c r="K219" s="938"/>
    </row>
    <row r="220" spans="1:11" ht="16.5">
      <c r="A220" s="1238"/>
      <c r="B220" s="1239"/>
      <c r="C220" s="1240"/>
      <c r="D220" s="1238"/>
      <c r="E220" s="938"/>
      <c r="F220" s="938"/>
      <c r="G220" s="938"/>
      <c r="H220" s="938"/>
      <c r="I220" s="938"/>
      <c r="J220" s="938"/>
      <c r="K220" s="938"/>
    </row>
    <row r="221" spans="1:11" ht="16.5">
      <c r="A221" s="1238"/>
      <c r="B221" s="1239"/>
      <c r="C221" s="1240"/>
      <c r="D221" s="1238"/>
      <c r="E221" s="938"/>
      <c r="F221" s="938"/>
      <c r="G221" s="938"/>
      <c r="H221" s="938"/>
      <c r="I221" s="938"/>
      <c r="J221" s="938"/>
      <c r="K221" s="938"/>
    </row>
    <row r="222" spans="1:11" ht="16.5">
      <c r="A222" s="1238"/>
      <c r="B222" s="1239"/>
      <c r="C222" s="1240"/>
      <c r="D222" s="1238"/>
      <c r="E222" s="938"/>
      <c r="F222" s="938"/>
      <c r="G222" s="938"/>
      <c r="H222" s="938"/>
      <c r="I222" s="938"/>
      <c r="J222" s="938"/>
      <c r="K222" s="938"/>
    </row>
    <row r="223" spans="1:11" ht="16.5">
      <c r="A223" s="1238"/>
      <c r="B223" s="1239"/>
      <c r="C223" s="1240"/>
      <c r="D223" s="1238"/>
      <c r="E223" s="938"/>
      <c r="F223" s="938"/>
      <c r="G223" s="938"/>
      <c r="H223" s="938"/>
      <c r="I223" s="938"/>
      <c r="J223" s="938"/>
      <c r="K223" s="938"/>
    </row>
    <row r="224" spans="1:11" ht="16.5">
      <c r="A224" s="1238"/>
      <c r="B224" s="1239"/>
      <c r="C224" s="1240"/>
      <c r="D224" s="1238"/>
      <c r="E224" s="938"/>
      <c r="F224" s="938"/>
      <c r="G224" s="938"/>
      <c r="H224" s="938"/>
      <c r="I224" s="938"/>
      <c r="J224" s="938"/>
      <c r="K224" s="938"/>
    </row>
    <row r="225" spans="1:11" ht="16.5">
      <c r="A225" s="1238"/>
      <c r="B225" s="1239"/>
      <c r="C225" s="1240"/>
      <c r="D225" s="1238"/>
      <c r="E225" s="938"/>
      <c r="F225" s="938"/>
      <c r="G225" s="938"/>
      <c r="H225" s="938"/>
      <c r="I225" s="938"/>
      <c r="J225" s="938"/>
      <c r="K225" s="938"/>
    </row>
    <row r="226" spans="1:11" ht="16.5">
      <c r="A226" s="1238"/>
      <c r="B226" s="1239"/>
      <c r="C226" s="1240"/>
      <c r="D226" s="1238"/>
      <c r="E226" s="938"/>
      <c r="F226" s="938"/>
      <c r="G226" s="938"/>
      <c r="H226" s="938"/>
      <c r="I226" s="938"/>
      <c r="J226" s="938"/>
      <c r="K226" s="938"/>
    </row>
    <row r="227" spans="1:11" ht="16.5">
      <c r="A227" s="1238"/>
      <c r="B227" s="1239"/>
      <c r="C227" s="1240"/>
      <c r="D227" s="1238"/>
      <c r="E227" s="938"/>
      <c r="F227" s="938"/>
      <c r="G227" s="938"/>
      <c r="H227" s="938"/>
      <c r="I227" s="938"/>
      <c r="J227" s="938"/>
      <c r="K227" s="938"/>
    </row>
    <row r="228" spans="1:11" ht="16.5">
      <c r="A228" s="1238"/>
      <c r="B228" s="1239"/>
      <c r="C228" s="1240"/>
      <c r="D228" s="1238"/>
      <c r="E228" s="938"/>
      <c r="F228" s="938"/>
      <c r="G228" s="938"/>
      <c r="H228" s="938"/>
      <c r="I228" s="938"/>
      <c r="J228" s="938"/>
      <c r="K228" s="938"/>
    </row>
    <row r="229" spans="1:11" ht="16.5">
      <c r="A229" s="1238"/>
      <c r="B229" s="1239"/>
      <c r="C229" s="1240"/>
      <c r="D229" s="1238"/>
      <c r="E229" s="938"/>
      <c r="F229" s="938"/>
      <c r="G229" s="938"/>
      <c r="H229" s="938"/>
      <c r="I229" s="938"/>
      <c r="J229" s="938"/>
      <c r="K229" s="938"/>
    </row>
    <row r="230" spans="1:11" ht="16.5">
      <c r="A230" s="1238"/>
      <c r="B230" s="1239"/>
      <c r="C230" s="1240"/>
      <c r="D230" s="1238"/>
      <c r="E230" s="938"/>
      <c r="F230" s="938"/>
      <c r="G230" s="938"/>
      <c r="H230" s="938"/>
      <c r="I230" s="938"/>
      <c r="J230" s="938"/>
      <c r="K230" s="938"/>
    </row>
    <row r="231" spans="1:11" ht="16.5">
      <c r="A231" s="1238"/>
      <c r="B231" s="1239"/>
      <c r="C231" s="1240"/>
      <c r="D231" s="1238"/>
      <c r="E231" s="938"/>
      <c r="F231" s="938"/>
      <c r="G231" s="938"/>
      <c r="H231" s="938"/>
      <c r="I231" s="938"/>
      <c r="J231" s="938"/>
      <c r="K231" s="938"/>
    </row>
    <row r="232" spans="1:11" ht="16.5">
      <c r="A232" s="1238"/>
      <c r="B232" s="1239"/>
      <c r="C232" s="1240"/>
      <c r="D232" s="1238"/>
      <c r="E232" s="938"/>
      <c r="F232" s="938"/>
      <c r="G232" s="938"/>
      <c r="H232" s="938"/>
      <c r="I232" s="938"/>
      <c r="J232" s="938"/>
      <c r="K232" s="938"/>
    </row>
    <row r="233" spans="1:11" ht="16.5">
      <c r="A233" s="1238"/>
      <c r="B233" s="1239"/>
      <c r="C233" s="1240"/>
      <c r="D233" s="1238"/>
      <c r="E233" s="938"/>
      <c r="F233" s="938"/>
      <c r="G233" s="938"/>
      <c r="H233" s="938"/>
      <c r="I233" s="938"/>
      <c r="J233" s="938"/>
      <c r="K233" s="938"/>
    </row>
    <row r="234" spans="1:11" ht="16.5">
      <c r="A234" s="1238"/>
      <c r="B234" s="1239"/>
      <c r="C234" s="1240"/>
      <c r="D234" s="1238"/>
      <c r="E234" s="938"/>
      <c r="F234" s="938"/>
      <c r="G234" s="938"/>
      <c r="H234" s="938"/>
      <c r="I234" s="938"/>
      <c r="J234" s="938"/>
      <c r="K234" s="938"/>
    </row>
    <row r="235" spans="1:11" ht="16.5">
      <c r="A235" s="1238"/>
      <c r="B235" s="1239"/>
      <c r="C235" s="1240"/>
      <c r="D235" s="1238"/>
      <c r="E235" s="938"/>
      <c r="F235" s="938"/>
      <c r="G235" s="938"/>
      <c r="H235" s="938"/>
      <c r="I235" s="938"/>
      <c r="J235" s="938"/>
      <c r="K235" s="938"/>
    </row>
    <row r="236" spans="1:11" ht="16.5">
      <c r="A236" s="1238"/>
      <c r="B236" s="1239"/>
      <c r="C236" s="1240"/>
      <c r="D236" s="1238"/>
      <c r="E236" s="938"/>
      <c r="F236" s="938"/>
      <c r="G236" s="938"/>
      <c r="H236" s="938"/>
      <c r="I236" s="938"/>
      <c r="J236" s="938"/>
      <c r="K236" s="938"/>
    </row>
    <row r="237" spans="1:11" ht="16.5">
      <c r="A237" s="1238"/>
      <c r="B237" s="1239"/>
      <c r="C237" s="1240"/>
      <c r="D237" s="1238"/>
      <c r="E237" s="938"/>
      <c r="F237" s="938"/>
      <c r="G237" s="938"/>
      <c r="H237" s="938"/>
      <c r="I237" s="938"/>
      <c r="J237" s="938"/>
      <c r="K237" s="938"/>
    </row>
    <row r="238" spans="1:11" ht="16.5">
      <c r="A238" s="1238"/>
      <c r="B238" s="1239"/>
      <c r="C238" s="1240"/>
      <c r="D238" s="1238"/>
      <c r="E238" s="938"/>
      <c r="F238" s="938"/>
      <c r="G238" s="938"/>
      <c r="H238" s="938"/>
      <c r="I238" s="938"/>
      <c r="J238" s="938"/>
      <c r="K238" s="938"/>
    </row>
    <row r="239" spans="1:11" ht="16.5">
      <c r="A239" s="1238"/>
      <c r="B239" s="1239"/>
      <c r="C239" s="1240"/>
      <c r="D239" s="1238"/>
      <c r="E239" s="938"/>
      <c r="F239" s="938"/>
      <c r="G239" s="938"/>
      <c r="H239" s="938"/>
      <c r="I239" s="938"/>
      <c r="J239" s="938"/>
      <c r="K239" s="938"/>
    </row>
    <row r="240" spans="1:11" ht="16.5">
      <c r="A240" s="1238"/>
      <c r="B240" s="1239"/>
      <c r="C240" s="1240"/>
      <c r="D240" s="1238"/>
      <c r="E240" s="938"/>
      <c r="F240" s="938"/>
      <c r="G240" s="938"/>
      <c r="H240" s="938"/>
      <c r="I240" s="938"/>
      <c r="J240" s="938"/>
      <c r="K240" s="938"/>
    </row>
    <row r="241" spans="1:11" ht="16.5">
      <c r="A241" s="1238"/>
      <c r="B241" s="1239"/>
      <c r="C241" s="1240"/>
      <c r="D241" s="1238"/>
      <c r="E241" s="938"/>
      <c r="F241" s="938"/>
      <c r="G241" s="938"/>
      <c r="H241" s="938"/>
      <c r="I241" s="938"/>
      <c r="J241" s="938"/>
      <c r="K241" s="938"/>
    </row>
    <row r="242" spans="1:11" ht="16.5">
      <c r="A242" s="1238"/>
      <c r="B242" s="1239"/>
      <c r="C242" s="1240"/>
      <c r="D242" s="1238"/>
      <c r="E242" s="938"/>
      <c r="F242" s="938"/>
      <c r="G242" s="938"/>
      <c r="H242" s="938"/>
      <c r="I242" s="938"/>
      <c r="J242" s="938"/>
      <c r="K242" s="938"/>
    </row>
    <row r="243" spans="1:11" ht="16.5">
      <c r="A243" s="1238"/>
      <c r="B243" s="1239"/>
      <c r="C243" s="1240"/>
      <c r="D243" s="1238"/>
      <c r="E243" s="938"/>
      <c r="F243" s="938"/>
      <c r="G243" s="938"/>
      <c r="H243" s="938"/>
      <c r="I243" s="938"/>
      <c r="J243" s="938"/>
      <c r="K243" s="938"/>
    </row>
    <row r="244" spans="1:11" ht="16.5">
      <c r="A244" s="1238"/>
      <c r="B244" s="1239"/>
      <c r="C244" s="1240"/>
      <c r="D244" s="1238"/>
      <c r="E244" s="938"/>
      <c r="F244" s="938"/>
      <c r="G244" s="938"/>
      <c r="H244" s="938"/>
      <c r="I244" s="938"/>
      <c r="J244" s="938"/>
      <c r="K244" s="938"/>
    </row>
    <row r="245" spans="1:11" ht="16.5">
      <c r="A245" s="1238"/>
      <c r="B245" s="1239"/>
      <c r="C245" s="1240"/>
      <c r="D245" s="1238"/>
      <c r="E245" s="938"/>
      <c r="F245" s="938"/>
      <c r="G245" s="938"/>
      <c r="H245" s="938"/>
      <c r="I245" s="938"/>
      <c r="J245" s="938"/>
      <c r="K245" s="938"/>
    </row>
    <row r="246" spans="1:11" ht="16.5">
      <c r="A246" s="1238"/>
      <c r="B246" s="1239"/>
      <c r="C246" s="1240"/>
      <c r="D246" s="1238"/>
      <c r="E246" s="938"/>
      <c r="F246" s="938"/>
      <c r="G246" s="938"/>
      <c r="H246" s="938"/>
      <c r="I246" s="938"/>
      <c r="J246" s="938"/>
      <c r="K246" s="938"/>
    </row>
  </sheetData>
  <sheetProtection/>
  <mergeCells count="2">
    <mergeCell ref="A3:K3"/>
    <mergeCell ref="J1:K1"/>
  </mergeCells>
  <printOptions/>
  <pageMargins left="0.75" right="0.59" top="0.67" bottom="0.5" header="0.5" footer="0.24"/>
  <pageSetup horizontalDpi="600" verticalDpi="600" orientation="landscape" paperSize="9" scale="91" r:id="rId3"/>
  <headerFooter alignWithMargins="0">
    <oddFooter>&amp;R&amp;P/&amp;N</oddFoot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W249"/>
  <sheetViews>
    <sheetView view="pageBreakPreview" zoomScale="85" zoomScaleNormal="70" zoomScaleSheetLayoutView="85" zoomScalePageLayoutView="0" workbookViewId="0" topLeftCell="A1">
      <selection activeCell="H5" sqref="H5"/>
    </sheetView>
  </sheetViews>
  <sheetFormatPr defaultColWidth="9.140625" defaultRowHeight="12.75"/>
  <cols>
    <col min="1" max="1" width="5.8515625" style="369" customWidth="1"/>
    <col min="2" max="2" width="31.57421875" style="365" customWidth="1"/>
    <col min="3" max="3" width="13.421875" style="366" customWidth="1"/>
    <col min="4" max="4" width="15.8515625" style="369" customWidth="1"/>
    <col min="5" max="9" width="12.421875" style="364" customWidth="1"/>
    <col min="10" max="10" width="13.140625" style="364" customWidth="1"/>
    <col min="11" max="11" width="19.421875" style="364" customWidth="1"/>
    <col min="12" max="12" width="5.421875" style="364" customWidth="1"/>
    <col min="13" max="13" width="13.8515625" style="364" bestFit="1" customWidth="1"/>
    <col min="14" max="14" width="15.8515625" style="364" customWidth="1"/>
    <col min="15" max="16384" width="9.140625" style="364" customWidth="1"/>
  </cols>
  <sheetData>
    <row r="1" spans="1:11" ht="36.75" customHeight="1">
      <c r="A1" s="364"/>
      <c r="B1" s="781" t="s">
        <v>374</v>
      </c>
      <c r="D1" s="366"/>
      <c r="I1" s="378" t="s">
        <v>357</v>
      </c>
      <c r="J1" s="1340" t="s">
        <v>358</v>
      </c>
      <c r="K1" s="1340"/>
    </row>
    <row r="2" spans="1:11" ht="36.75" customHeight="1">
      <c r="A2" s="364"/>
      <c r="B2" s="1322" t="s">
        <v>463</v>
      </c>
      <c r="C2" s="1322"/>
      <c r="D2" s="1322"/>
      <c r="E2" s="1322"/>
      <c r="F2" s="1322"/>
      <c r="G2" s="1322"/>
      <c r="H2" s="1322"/>
      <c r="I2" s="1322"/>
      <c r="J2" s="1322"/>
      <c r="K2" s="1322"/>
    </row>
    <row r="3" spans="1:14" ht="42" customHeight="1">
      <c r="A3" s="1319" t="s">
        <v>401</v>
      </c>
      <c r="B3" s="1319"/>
      <c r="C3" s="1319"/>
      <c r="D3" s="1319"/>
      <c r="E3" s="1319"/>
      <c r="F3" s="1319"/>
      <c r="G3" s="1319"/>
      <c r="H3" s="1319"/>
      <c r="I3" s="1319"/>
      <c r="J3" s="1319"/>
      <c r="K3" s="1319"/>
      <c r="M3" s="364">
        <v>1000000000</v>
      </c>
      <c r="N3" s="364">
        <f>0.0051*M3</f>
        <v>5100000</v>
      </c>
    </row>
    <row r="4" spans="1:11" ht="24.75" customHeight="1">
      <c r="A4" s="383"/>
      <c r="B4" s="393"/>
      <c r="C4" s="394"/>
      <c r="D4" s="383"/>
      <c r="E4" s="395"/>
      <c r="F4" s="395"/>
      <c r="G4" s="395"/>
      <c r="H4" s="395"/>
      <c r="I4" s="395"/>
      <c r="J4" s="395"/>
      <c r="K4" s="395"/>
    </row>
    <row r="5" spans="1:11" s="367" customFormat="1" ht="66">
      <c r="A5" s="404" t="s">
        <v>0</v>
      </c>
      <c r="B5" s="404" t="s">
        <v>287</v>
      </c>
      <c r="C5" s="404" t="s">
        <v>184</v>
      </c>
      <c r="D5" s="384" t="s">
        <v>297</v>
      </c>
      <c r="E5" s="384" t="s">
        <v>298</v>
      </c>
      <c r="F5" s="384" t="s">
        <v>299</v>
      </c>
      <c r="G5" s="384" t="s">
        <v>300</v>
      </c>
      <c r="H5" s="384" t="s">
        <v>799</v>
      </c>
      <c r="I5" s="384" t="s">
        <v>301</v>
      </c>
      <c r="J5" s="384" t="s">
        <v>302</v>
      </c>
      <c r="K5" s="384" t="s">
        <v>408</v>
      </c>
    </row>
    <row r="6" spans="1:23" ht="40.5" customHeight="1">
      <c r="A6" s="389">
        <v>1</v>
      </c>
      <c r="B6" s="390" t="s">
        <v>387</v>
      </c>
      <c r="C6" s="406" t="s">
        <v>292</v>
      </c>
      <c r="D6" s="410"/>
      <c r="E6" s="411"/>
      <c r="F6" s="411"/>
      <c r="G6" s="411"/>
      <c r="H6" s="411"/>
      <c r="I6" s="411"/>
      <c r="J6" s="411"/>
      <c r="K6" s="389"/>
      <c r="L6" s="371"/>
      <c r="N6" s="370"/>
      <c r="O6" s="371"/>
      <c r="Q6" s="370"/>
      <c r="R6" s="371"/>
      <c r="T6" s="370"/>
      <c r="U6" s="371"/>
      <c r="W6" s="370"/>
    </row>
    <row r="7" spans="1:11" s="368" customFormat="1" ht="42.75" customHeight="1">
      <c r="A7" s="412"/>
      <c r="B7" s="413" t="s">
        <v>388</v>
      </c>
      <c r="C7" s="414" t="s">
        <v>292</v>
      </c>
      <c r="D7" s="572">
        <v>0.0051</v>
      </c>
      <c r="E7" s="415"/>
      <c r="F7" s="415"/>
      <c r="G7" s="415"/>
      <c r="H7" s="415"/>
      <c r="I7" s="415"/>
      <c r="J7" s="415"/>
      <c r="K7" s="412" t="s">
        <v>42</v>
      </c>
    </row>
    <row r="8" spans="1:11" ht="36.75" customHeight="1">
      <c r="A8" s="389">
        <v>2</v>
      </c>
      <c r="B8" s="408" t="s">
        <v>348</v>
      </c>
      <c r="C8" s="406" t="s">
        <v>292</v>
      </c>
      <c r="D8" s="410"/>
      <c r="E8" s="411"/>
      <c r="F8" s="411"/>
      <c r="G8" s="411"/>
      <c r="H8" s="411"/>
      <c r="I8" s="411"/>
      <c r="J8" s="411"/>
      <c r="K8" s="389"/>
    </row>
    <row r="9" spans="1:11" ht="36.75" customHeight="1">
      <c r="A9" s="389">
        <v>3</v>
      </c>
      <c r="B9" s="408" t="s">
        <v>431</v>
      </c>
      <c r="C9" s="406" t="s">
        <v>292</v>
      </c>
      <c r="D9" s="410"/>
      <c r="E9" s="411"/>
      <c r="F9" s="411"/>
      <c r="G9" s="411"/>
      <c r="H9" s="411"/>
      <c r="I9" s="411"/>
      <c r="J9" s="411"/>
      <c r="K9" s="389"/>
    </row>
    <row r="10" spans="1:11" ht="34.5" customHeight="1">
      <c r="A10" s="389">
        <v>4</v>
      </c>
      <c r="B10" s="408" t="s">
        <v>432</v>
      </c>
      <c r="C10" s="406" t="s">
        <v>292</v>
      </c>
      <c r="D10" s="410"/>
      <c r="E10" s="411"/>
      <c r="F10" s="411"/>
      <c r="G10" s="411"/>
      <c r="H10" s="411"/>
      <c r="I10" s="411"/>
      <c r="J10" s="411"/>
      <c r="K10" s="389"/>
    </row>
    <row r="11" spans="1:11" ht="34.5" customHeight="1">
      <c r="A11" s="389">
        <v>5</v>
      </c>
      <c r="B11" s="408" t="s">
        <v>147</v>
      </c>
      <c r="C11" s="406" t="s">
        <v>292</v>
      </c>
      <c r="D11" s="410"/>
      <c r="E11" s="411"/>
      <c r="F11" s="411"/>
      <c r="G11" s="411"/>
      <c r="H11" s="411"/>
      <c r="I11" s="411"/>
      <c r="J11" s="411"/>
      <c r="K11" s="389"/>
    </row>
    <row r="12" spans="1:11" ht="34.5" customHeight="1">
      <c r="A12" s="389">
        <v>6</v>
      </c>
      <c r="B12" s="408" t="s">
        <v>349</v>
      </c>
      <c r="C12" s="406" t="s">
        <v>292</v>
      </c>
      <c r="D12" s="410"/>
      <c r="E12" s="411"/>
      <c r="F12" s="411"/>
      <c r="G12" s="411"/>
      <c r="H12" s="411"/>
      <c r="I12" s="411"/>
      <c r="J12" s="411"/>
      <c r="K12" s="389"/>
    </row>
    <row r="13" spans="1:23" ht="34.5" customHeight="1">
      <c r="A13" s="389">
        <v>7</v>
      </c>
      <c r="B13" s="390" t="s">
        <v>350</v>
      </c>
      <c r="C13" s="406" t="s">
        <v>294</v>
      </c>
      <c r="D13" s="410"/>
      <c r="E13" s="411"/>
      <c r="F13" s="411"/>
      <c r="G13" s="411"/>
      <c r="H13" s="411"/>
      <c r="I13" s="411"/>
      <c r="J13" s="411"/>
      <c r="K13" s="389"/>
      <c r="L13" s="371"/>
      <c r="N13" s="370"/>
      <c r="O13" s="371"/>
      <c r="Q13" s="370"/>
      <c r="R13" s="371"/>
      <c r="T13" s="370"/>
      <c r="U13" s="371"/>
      <c r="W13" s="370"/>
    </row>
    <row r="14" spans="1:11" ht="16.5">
      <c r="A14" s="383"/>
      <c r="B14" s="393"/>
      <c r="C14" s="394"/>
      <c r="D14" s="383"/>
      <c r="E14" s="395"/>
      <c r="F14" s="395"/>
      <c r="G14" s="395"/>
      <c r="H14" s="395"/>
      <c r="I14" s="395"/>
      <c r="J14" s="395"/>
      <c r="K14" s="395"/>
    </row>
    <row r="15" spans="1:11" ht="16.5">
      <c r="A15" s="383"/>
      <c r="B15" s="1300" t="s">
        <v>404</v>
      </c>
      <c r="C15" s="1300"/>
      <c r="D15" s="1300"/>
      <c r="E15" s="416"/>
      <c r="F15" s="395"/>
      <c r="G15" s="395"/>
      <c r="H15" s="395"/>
      <c r="I15" s="395"/>
      <c r="J15" s="395"/>
      <c r="K15" s="395"/>
    </row>
    <row r="16" spans="1:11" ht="16.5">
      <c r="A16" s="383"/>
      <c r="B16" s="393"/>
      <c r="C16" s="394"/>
      <c r="D16" s="383"/>
      <c r="E16" s="395"/>
      <c r="F16" s="395"/>
      <c r="G16" s="395"/>
      <c r="H16" s="395"/>
      <c r="I16" s="395"/>
      <c r="J16" s="395"/>
      <c r="K16" s="395"/>
    </row>
    <row r="17" spans="1:11" ht="16.5">
      <c r="A17" s="383"/>
      <c r="B17" s="393"/>
      <c r="C17" s="394"/>
      <c r="D17" s="383"/>
      <c r="E17" s="395"/>
      <c r="F17" s="395"/>
      <c r="G17" s="395"/>
      <c r="H17" s="395"/>
      <c r="I17" s="395"/>
      <c r="J17" s="395"/>
      <c r="K17" s="395"/>
    </row>
    <row r="18" spans="1:11" ht="16.5">
      <c r="A18" s="383"/>
      <c r="B18" s="393"/>
      <c r="C18" s="394"/>
      <c r="D18" s="383"/>
      <c r="E18" s="395"/>
      <c r="F18" s="395"/>
      <c r="G18" s="395"/>
      <c r="H18" s="395"/>
      <c r="I18" s="395"/>
      <c r="J18" s="395"/>
      <c r="K18" s="395"/>
    </row>
    <row r="19" spans="1:11" ht="16.5">
      <c r="A19" s="383"/>
      <c r="B19" s="393"/>
      <c r="C19" s="394"/>
      <c r="D19" s="383"/>
      <c r="E19" s="395"/>
      <c r="F19" s="395"/>
      <c r="G19" s="395"/>
      <c r="H19" s="395"/>
      <c r="I19" s="395"/>
      <c r="J19" s="395"/>
      <c r="K19" s="395"/>
    </row>
    <row r="20" spans="1:23" ht="16.5">
      <c r="A20" s="383"/>
      <c r="B20" s="409"/>
      <c r="C20" s="394"/>
      <c r="D20" s="383"/>
      <c r="E20" s="405"/>
      <c r="F20" s="395"/>
      <c r="G20" s="395"/>
      <c r="H20" s="395"/>
      <c r="I20" s="395"/>
      <c r="J20" s="395"/>
      <c r="K20" s="395"/>
      <c r="L20" s="371"/>
      <c r="N20" s="370"/>
      <c r="O20" s="371"/>
      <c r="Q20" s="370"/>
      <c r="R20" s="371"/>
      <c r="T20" s="370"/>
      <c r="U20" s="371"/>
      <c r="W20" s="370"/>
    </row>
    <row r="21" spans="1:11" ht="16.5">
      <c r="A21" s="383"/>
      <c r="B21" s="393"/>
      <c r="C21" s="394"/>
      <c r="D21" s="383"/>
      <c r="E21" s="395"/>
      <c r="F21" s="395"/>
      <c r="G21" s="395"/>
      <c r="H21" s="395"/>
      <c r="I21" s="395"/>
      <c r="J21" s="395"/>
      <c r="K21" s="395"/>
    </row>
    <row r="22" spans="1:11" ht="12.75" customHeight="1">
      <c r="A22" s="383"/>
      <c r="B22" s="393"/>
      <c r="C22" s="394"/>
      <c r="D22" s="383"/>
      <c r="E22" s="395"/>
      <c r="F22" s="395"/>
      <c r="G22" s="395"/>
      <c r="H22" s="395"/>
      <c r="I22" s="395"/>
      <c r="J22" s="395"/>
      <c r="K22" s="395"/>
    </row>
    <row r="23" spans="1:11" ht="16.5">
      <c r="A23" s="383"/>
      <c r="B23" s="393"/>
      <c r="C23" s="394"/>
      <c r="D23" s="383"/>
      <c r="E23" s="395"/>
      <c r="F23" s="395"/>
      <c r="G23" s="395"/>
      <c r="H23" s="395"/>
      <c r="I23" s="395"/>
      <c r="J23" s="395"/>
      <c r="K23" s="395"/>
    </row>
    <row r="24" spans="1:11" ht="16.5">
      <c r="A24" s="383"/>
      <c r="B24" s="393"/>
      <c r="C24" s="394"/>
      <c r="D24" s="383"/>
      <c r="E24" s="395"/>
      <c r="F24" s="395"/>
      <c r="G24" s="395"/>
      <c r="H24" s="395"/>
      <c r="I24" s="395"/>
      <c r="J24" s="395"/>
      <c r="K24" s="395"/>
    </row>
    <row r="25" spans="1:11" ht="16.5">
      <c r="A25" s="383"/>
      <c r="B25" s="393"/>
      <c r="C25" s="394"/>
      <c r="D25" s="383"/>
      <c r="E25" s="395"/>
      <c r="F25" s="395"/>
      <c r="G25" s="395"/>
      <c r="H25" s="395"/>
      <c r="I25" s="395"/>
      <c r="J25" s="395"/>
      <c r="K25" s="395"/>
    </row>
    <row r="26" spans="1:11" ht="16.5">
      <c r="A26" s="383"/>
      <c r="B26" s="393"/>
      <c r="C26" s="394"/>
      <c r="D26" s="383"/>
      <c r="E26" s="395"/>
      <c r="F26" s="395"/>
      <c r="G26" s="395"/>
      <c r="H26" s="395"/>
      <c r="I26" s="395"/>
      <c r="J26" s="395"/>
      <c r="K26" s="395"/>
    </row>
    <row r="27" spans="1:11" ht="16.5">
      <c r="A27" s="383"/>
      <c r="B27" s="393"/>
      <c r="C27" s="394"/>
      <c r="D27" s="383"/>
      <c r="E27" s="395"/>
      <c r="F27" s="395"/>
      <c r="G27" s="395"/>
      <c r="H27" s="395"/>
      <c r="I27" s="395"/>
      <c r="J27" s="395"/>
      <c r="K27" s="395"/>
    </row>
    <row r="28" spans="1:11" ht="16.5">
      <c r="A28" s="383"/>
      <c r="B28" s="393"/>
      <c r="C28" s="394"/>
      <c r="D28" s="383"/>
      <c r="E28" s="395"/>
      <c r="F28" s="395"/>
      <c r="G28" s="395"/>
      <c r="H28" s="395"/>
      <c r="I28" s="395"/>
      <c r="J28" s="395"/>
      <c r="K28" s="395"/>
    </row>
    <row r="29" spans="1:11" ht="16.5">
      <c r="A29" s="383"/>
      <c r="B29" s="393"/>
      <c r="C29" s="394"/>
      <c r="D29" s="383"/>
      <c r="E29" s="395"/>
      <c r="F29" s="395"/>
      <c r="G29" s="395"/>
      <c r="H29" s="395"/>
      <c r="I29" s="395"/>
      <c r="J29" s="395"/>
      <c r="K29" s="395"/>
    </row>
    <row r="30" spans="1:11" ht="16.5">
      <c r="A30" s="383"/>
      <c r="B30" s="393"/>
      <c r="C30" s="394"/>
      <c r="D30" s="383"/>
      <c r="E30" s="395"/>
      <c r="F30" s="395"/>
      <c r="G30" s="395"/>
      <c r="H30" s="395"/>
      <c r="I30" s="395"/>
      <c r="J30" s="395"/>
      <c r="K30" s="395"/>
    </row>
    <row r="31" spans="1:11" ht="16.5">
      <c r="A31" s="383"/>
      <c r="B31" s="393"/>
      <c r="C31" s="394"/>
      <c r="D31" s="383"/>
      <c r="E31" s="395"/>
      <c r="F31" s="395"/>
      <c r="G31" s="395"/>
      <c r="H31" s="395"/>
      <c r="I31" s="395"/>
      <c r="J31" s="395"/>
      <c r="K31" s="395"/>
    </row>
    <row r="32" spans="1:11" ht="16.5">
      <c r="A32" s="383"/>
      <c r="B32" s="393"/>
      <c r="C32" s="394"/>
      <c r="D32" s="383"/>
      <c r="E32" s="395"/>
      <c r="F32" s="395"/>
      <c r="G32" s="395"/>
      <c r="H32" s="395"/>
      <c r="I32" s="395"/>
      <c r="J32" s="395"/>
      <c r="K32" s="395"/>
    </row>
    <row r="33" spans="1:11" ht="16.5">
      <c r="A33" s="383"/>
      <c r="B33" s="393"/>
      <c r="C33" s="394"/>
      <c r="D33" s="383"/>
      <c r="E33" s="395"/>
      <c r="F33" s="395"/>
      <c r="G33" s="395"/>
      <c r="H33" s="395"/>
      <c r="I33" s="395"/>
      <c r="J33" s="395"/>
      <c r="K33" s="395"/>
    </row>
    <row r="34" spans="1:11" ht="16.5">
      <c r="A34" s="383"/>
      <c r="B34" s="393"/>
      <c r="C34" s="394"/>
      <c r="D34" s="383"/>
      <c r="E34" s="395"/>
      <c r="F34" s="395"/>
      <c r="G34" s="395"/>
      <c r="H34" s="395"/>
      <c r="I34" s="395"/>
      <c r="J34" s="395"/>
      <c r="K34" s="395"/>
    </row>
    <row r="35" spans="1:11" ht="16.5">
      <c r="A35" s="383"/>
      <c r="B35" s="393"/>
      <c r="C35" s="394"/>
      <c r="D35" s="383"/>
      <c r="E35" s="395"/>
      <c r="F35" s="395"/>
      <c r="G35" s="395"/>
      <c r="H35" s="395"/>
      <c r="I35" s="395"/>
      <c r="J35" s="395"/>
      <c r="K35" s="395"/>
    </row>
    <row r="36" spans="1:11" ht="16.5">
      <c r="A36" s="383"/>
      <c r="B36" s="393"/>
      <c r="C36" s="394"/>
      <c r="D36" s="383"/>
      <c r="E36" s="395"/>
      <c r="F36" s="395"/>
      <c r="G36" s="395"/>
      <c r="H36" s="395"/>
      <c r="I36" s="395"/>
      <c r="J36" s="395"/>
      <c r="K36" s="395"/>
    </row>
    <row r="37" spans="1:11" ht="16.5">
      <c r="A37" s="383"/>
      <c r="B37" s="393"/>
      <c r="C37" s="394"/>
      <c r="D37" s="383"/>
      <c r="E37" s="395"/>
      <c r="F37" s="395"/>
      <c r="G37" s="395"/>
      <c r="H37" s="395"/>
      <c r="I37" s="395"/>
      <c r="J37" s="395"/>
      <c r="K37" s="395"/>
    </row>
    <row r="38" spans="1:11" ht="16.5">
      <c r="A38" s="383"/>
      <c r="B38" s="393"/>
      <c r="C38" s="394"/>
      <c r="D38" s="383"/>
      <c r="E38" s="395"/>
      <c r="F38" s="395"/>
      <c r="G38" s="395"/>
      <c r="H38" s="395"/>
      <c r="I38" s="395"/>
      <c r="J38" s="395"/>
      <c r="K38" s="395"/>
    </row>
    <row r="39" spans="1:11" ht="16.5">
      <c r="A39" s="383"/>
      <c r="B39" s="393"/>
      <c r="C39" s="394"/>
      <c r="D39" s="383"/>
      <c r="E39" s="395"/>
      <c r="F39" s="395"/>
      <c r="G39" s="395"/>
      <c r="H39" s="395"/>
      <c r="I39" s="395"/>
      <c r="J39" s="395"/>
      <c r="K39" s="395"/>
    </row>
    <row r="40" spans="1:11" ht="16.5">
      <c r="A40" s="383"/>
      <c r="B40" s="393"/>
      <c r="C40" s="394"/>
      <c r="D40" s="383"/>
      <c r="E40" s="395"/>
      <c r="F40" s="395"/>
      <c r="G40" s="395"/>
      <c r="H40" s="395"/>
      <c r="I40" s="395"/>
      <c r="J40" s="395"/>
      <c r="K40" s="395"/>
    </row>
    <row r="41" spans="1:11" ht="16.5">
      <c r="A41" s="383"/>
      <c r="B41" s="393"/>
      <c r="C41" s="394"/>
      <c r="D41" s="383"/>
      <c r="E41" s="395"/>
      <c r="F41" s="395"/>
      <c r="G41" s="395"/>
      <c r="H41" s="395"/>
      <c r="I41" s="395"/>
      <c r="J41" s="395"/>
      <c r="K41" s="395"/>
    </row>
    <row r="42" spans="1:11" ht="16.5">
      <c r="A42" s="383"/>
      <c r="B42" s="393"/>
      <c r="C42" s="394"/>
      <c r="D42" s="383"/>
      <c r="E42" s="395"/>
      <c r="F42" s="395"/>
      <c r="G42" s="395"/>
      <c r="H42" s="395"/>
      <c r="I42" s="395"/>
      <c r="J42" s="395"/>
      <c r="K42" s="395"/>
    </row>
    <row r="43" spans="1:11" ht="16.5">
      <c r="A43" s="383"/>
      <c r="B43" s="393"/>
      <c r="C43" s="394"/>
      <c r="D43" s="383"/>
      <c r="E43" s="395"/>
      <c r="F43" s="395"/>
      <c r="G43" s="395"/>
      <c r="H43" s="395"/>
      <c r="I43" s="395"/>
      <c r="J43" s="395"/>
      <c r="K43" s="395"/>
    </row>
    <row r="44" spans="1:11" ht="16.5">
      <c r="A44" s="383"/>
      <c r="B44" s="393"/>
      <c r="C44" s="394"/>
      <c r="D44" s="383"/>
      <c r="E44" s="395"/>
      <c r="F44" s="395"/>
      <c r="G44" s="395"/>
      <c r="H44" s="395"/>
      <c r="I44" s="395"/>
      <c r="J44" s="395"/>
      <c r="K44" s="395"/>
    </row>
    <row r="45" spans="1:11" ht="16.5">
      <c r="A45" s="383"/>
      <c r="B45" s="393"/>
      <c r="C45" s="394"/>
      <c r="D45" s="383"/>
      <c r="E45" s="395"/>
      <c r="F45" s="395"/>
      <c r="G45" s="395"/>
      <c r="H45" s="395"/>
      <c r="I45" s="395"/>
      <c r="J45" s="395"/>
      <c r="K45" s="395"/>
    </row>
    <row r="46" spans="1:11" ht="16.5">
      <c r="A46" s="383"/>
      <c r="B46" s="393"/>
      <c r="C46" s="394"/>
      <c r="D46" s="383"/>
      <c r="E46" s="395"/>
      <c r="F46" s="395"/>
      <c r="G46" s="395"/>
      <c r="H46" s="395"/>
      <c r="I46" s="395"/>
      <c r="J46" s="395"/>
      <c r="K46" s="395"/>
    </row>
    <row r="47" spans="1:11" ht="16.5">
      <c r="A47" s="383"/>
      <c r="B47" s="393"/>
      <c r="C47" s="394"/>
      <c r="D47" s="383"/>
      <c r="E47" s="395"/>
      <c r="F47" s="395"/>
      <c r="G47" s="395"/>
      <c r="H47" s="395"/>
      <c r="I47" s="395"/>
      <c r="J47" s="395"/>
      <c r="K47" s="395"/>
    </row>
    <row r="48" spans="1:11" ht="16.5">
      <c r="A48" s="383"/>
      <c r="B48" s="393"/>
      <c r="C48" s="394"/>
      <c r="D48" s="383"/>
      <c r="E48" s="395"/>
      <c r="F48" s="395"/>
      <c r="G48" s="395"/>
      <c r="H48" s="395"/>
      <c r="I48" s="395"/>
      <c r="J48" s="395"/>
      <c r="K48" s="395"/>
    </row>
    <row r="49" spans="1:11" ht="16.5">
      <c r="A49" s="383"/>
      <c r="B49" s="393"/>
      <c r="C49" s="394"/>
      <c r="D49" s="383"/>
      <c r="E49" s="395"/>
      <c r="F49" s="395"/>
      <c r="G49" s="395"/>
      <c r="H49" s="395"/>
      <c r="I49" s="395"/>
      <c r="J49" s="395"/>
      <c r="K49" s="395"/>
    </row>
    <row r="50" spans="1:11" ht="16.5">
      <c r="A50" s="383"/>
      <c r="B50" s="393"/>
      <c r="C50" s="394"/>
      <c r="D50" s="383"/>
      <c r="E50" s="395"/>
      <c r="F50" s="395"/>
      <c r="G50" s="395"/>
      <c r="H50" s="395"/>
      <c r="I50" s="395"/>
      <c r="J50" s="395"/>
      <c r="K50" s="395"/>
    </row>
    <row r="51" spans="1:11" ht="16.5">
      <c r="A51" s="383"/>
      <c r="B51" s="393"/>
      <c r="C51" s="394"/>
      <c r="D51" s="383"/>
      <c r="E51" s="395"/>
      <c r="F51" s="395"/>
      <c r="G51" s="395"/>
      <c r="H51" s="395"/>
      <c r="I51" s="395"/>
      <c r="J51" s="395"/>
      <c r="K51" s="395"/>
    </row>
    <row r="52" spans="1:11" ht="16.5">
      <c r="A52" s="383"/>
      <c r="B52" s="393"/>
      <c r="C52" s="394"/>
      <c r="D52" s="383"/>
      <c r="E52" s="395"/>
      <c r="F52" s="395"/>
      <c r="G52" s="395"/>
      <c r="H52" s="395"/>
      <c r="I52" s="395"/>
      <c r="J52" s="395"/>
      <c r="K52" s="395"/>
    </row>
    <row r="53" spans="1:11" ht="16.5">
      <c r="A53" s="383"/>
      <c r="B53" s="393"/>
      <c r="C53" s="394"/>
      <c r="D53" s="383"/>
      <c r="E53" s="395"/>
      <c r="F53" s="395"/>
      <c r="G53" s="395"/>
      <c r="H53" s="395"/>
      <c r="I53" s="395"/>
      <c r="J53" s="395"/>
      <c r="K53" s="395"/>
    </row>
    <row r="54" spans="1:11" ht="16.5">
      <c r="A54" s="383"/>
      <c r="B54" s="393"/>
      <c r="C54" s="394"/>
      <c r="D54" s="383"/>
      <c r="E54" s="395"/>
      <c r="F54" s="395"/>
      <c r="G54" s="395"/>
      <c r="H54" s="395"/>
      <c r="I54" s="395"/>
      <c r="J54" s="395"/>
      <c r="K54" s="395"/>
    </row>
    <row r="55" spans="1:11" ht="16.5">
      <c r="A55" s="383"/>
      <c r="B55" s="393"/>
      <c r="C55" s="394"/>
      <c r="D55" s="383"/>
      <c r="E55" s="395"/>
      <c r="F55" s="395"/>
      <c r="G55" s="395"/>
      <c r="H55" s="395"/>
      <c r="I55" s="395"/>
      <c r="J55" s="395"/>
      <c r="K55" s="395"/>
    </row>
    <row r="56" spans="1:11" ht="16.5">
      <c r="A56" s="383"/>
      <c r="B56" s="393"/>
      <c r="C56" s="394"/>
      <c r="D56" s="383"/>
      <c r="E56" s="395"/>
      <c r="F56" s="395"/>
      <c r="G56" s="395"/>
      <c r="H56" s="395"/>
      <c r="I56" s="395"/>
      <c r="J56" s="395"/>
      <c r="K56" s="395"/>
    </row>
    <row r="57" spans="1:11" ht="16.5">
      <c r="A57" s="383"/>
      <c r="B57" s="393"/>
      <c r="C57" s="394"/>
      <c r="D57" s="383"/>
      <c r="E57" s="395"/>
      <c r="F57" s="395"/>
      <c r="G57" s="395"/>
      <c r="H57" s="395"/>
      <c r="I57" s="395"/>
      <c r="J57" s="395"/>
      <c r="K57" s="395"/>
    </row>
    <row r="58" spans="1:11" ht="16.5">
      <c r="A58" s="383"/>
      <c r="B58" s="393"/>
      <c r="C58" s="394"/>
      <c r="D58" s="383"/>
      <c r="E58" s="395"/>
      <c r="F58" s="395"/>
      <c r="G58" s="395"/>
      <c r="H58" s="395"/>
      <c r="I58" s="395"/>
      <c r="J58" s="395"/>
      <c r="K58" s="395"/>
    </row>
    <row r="59" spans="1:11" ht="16.5">
      <c r="A59" s="383"/>
      <c r="B59" s="393"/>
      <c r="C59" s="394"/>
      <c r="D59" s="383"/>
      <c r="E59" s="395"/>
      <c r="F59" s="395"/>
      <c r="G59" s="395"/>
      <c r="H59" s="395"/>
      <c r="I59" s="395"/>
      <c r="J59" s="395"/>
      <c r="K59" s="395"/>
    </row>
    <row r="60" spans="1:11" ht="16.5">
      <c r="A60" s="383"/>
      <c r="B60" s="393"/>
      <c r="C60" s="394"/>
      <c r="D60" s="383"/>
      <c r="E60" s="395"/>
      <c r="F60" s="395"/>
      <c r="G60" s="395"/>
      <c r="H60" s="395"/>
      <c r="I60" s="395"/>
      <c r="J60" s="395"/>
      <c r="K60" s="395"/>
    </row>
    <row r="61" spans="1:11" ht="16.5">
      <c r="A61" s="383"/>
      <c r="B61" s="393"/>
      <c r="C61" s="394"/>
      <c r="D61" s="383"/>
      <c r="E61" s="395"/>
      <c r="F61" s="395"/>
      <c r="G61" s="395"/>
      <c r="H61" s="395"/>
      <c r="I61" s="395"/>
      <c r="J61" s="395"/>
      <c r="K61" s="395"/>
    </row>
    <row r="62" spans="1:11" ht="16.5">
      <c r="A62" s="383"/>
      <c r="B62" s="393"/>
      <c r="C62" s="394"/>
      <c r="D62" s="383"/>
      <c r="E62" s="395"/>
      <c r="F62" s="395"/>
      <c r="G62" s="395"/>
      <c r="H62" s="395"/>
      <c r="I62" s="395"/>
      <c r="J62" s="395"/>
      <c r="K62" s="395"/>
    </row>
    <row r="63" spans="1:11" ht="16.5">
      <c r="A63" s="383"/>
      <c r="B63" s="393"/>
      <c r="C63" s="394"/>
      <c r="D63" s="383"/>
      <c r="E63" s="395"/>
      <c r="F63" s="395"/>
      <c r="G63" s="395"/>
      <c r="H63" s="395"/>
      <c r="I63" s="395"/>
      <c r="J63" s="395"/>
      <c r="K63" s="395"/>
    </row>
    <row r="64" spans="1:11" ht="16.5">
      <c r="A64" s="383"/>
      <c r="B64" s="393"/>
      <c r="C64" s="394"/>
      <c r="D64" s="383"/>
      <c r="E64" s="395"/>
      <c r="F64" s="395"/>
      <c r="G64" s="395"/>
      <c r="H64" s="395"/>
      <c r="I64" s="395"/>
      <c r="J64" s="395"/>
      <c r="K64" s="395"/>
    </row>
    <row r="65" spans="1:11" ht="16.5">
      <c r="A65" s="383"/>
      <c r="B65" s="393"/>
      <c r="C65" s="394"/>
      <c r="D65" s="383"/>
      <c r="E65" s="395"/>
      <c r="F65" s="395"/>
      <c r="G65" s="395"/>
      <c r="H65" s="395"/>
      <c r="I65" s="395"/>
      <c r="J65" s="395"/>
      <c r="K65" s="395"/>
    </row>
    <row r="66" spans="1:11" ht="16.5">
      <c r="A66" s="383"/>
      <c r="B66" s="393"/>
      <c r="C66" s="394"/>
      <c r="D66" s="383"/>
      <c r="E66" s="395"/>
      <c r="F66" s="395"/>
      <c r="G66" s="395"/>
      <c r="H66" s="395"/>
      <c r="I66" s="395"/>
      <c r="J66" s="395"/>
      <c r="K66" s="395"/>
    </row>
    <row r="67" spans="1:11" ht="16.5">
      <c r="A67" s="383"/>
      <c r="B67" s="393"/>
      <c r="C67" s="394"/>
      <c r="D67" s="383"/>
      <c r="E67" s="395"/>
      <c r="F67" s="395"/>
      <c r="G67" s="395"/>
      <c r="H67" s="395"/>
      <c r="I67" s="395"/>
      <c r="J67" s="395"/>
      <c r="K67" s="395"/>
    </row>
    <row r="68" spans="1:11" ht="16.5">
      <c r="A68" s="383"/>
      <c r="B68" s="393"/>
      <c r="C68" s="394"/>
      <c r="D68" s="383"/>
      <c r="E68" s="395"/>
      <c r="F68" s="395"/>
      <c r="G68" s="395"/>
      <c r="H68" s="395"/>
      <c r="I68" s="395"/>
      <c r="J68" s="395"/>
      <c r="K68" s="395"/>
    </row>
    <row r="69" spans="1:11" ht="16.5">
      <c r="A69" s="383"/>
      <c r="B69" s="393"/>
      <c r="C69" s="394"/>
      <c r="D69" s="383"/>
      <c r="E69" s="395"/>
      <c r="F69" s="395"/>
      <c r="G69" s="395"/>
      <c r="H69" s="395"/>
      <c r="I69" s="395"/>
      <c r="J69" s="395"/>
      <c r="K69" s="395"/>
    </row>
    <row r="70" spans="1:11" ht="16.5">
      <c r="A70" s="383"/>
      <c r="B70" s="393"/>
      <c r="C70" s="394"/>
      <c r="D70" s="383"/>
      <c r="E70" s="395"/>
      <c r="F70" s="395"/>
      <c r="G70" s="395"/>
      <c r="H70" s="395"/>
      <c r="I70" s="395"/>
      <c r="J70" s="395"/>
      <c r="K70" s="395"/>
    </row>
    <row r="71" spans="1:11" ht="16.5">
      <c r="A71" s="383"/>
      <c r="B71" s="393"/>
      <c r="C71" s="394"/>
      <c r="D71" s="383"/>
      <c r="E71" s="395"/>
      <c r="F71" s="395"/>
      <c r="G71" s="395"/>
      <c r="H71" s="395"/>
      <c r="I71" s="395"/>
      <c r="J71" s="395"/>
      <c r="K71" s="395"/>
    </row>
    <row r="72" spans="1:11" ht="16.5">
      <c r="A72" s="383"/>
      <c r="B72" s="393"/>
      <c r="C72" s="394"/>
      <c r="D72" s="383"/>
      <c r="E72" s="395"/>
      <c r="F72" s="395"/>
      <c r="G72" s="395"/>
      <c r="H72" s="395"/>
      <c r="I72" s="395"/>
      <c r="J72" s="395"/>
      <c r="K72" s="395"/>
    </row>
    <row r="73" spans="1:11" ht="16.5">
      <c r="A73" s="383"/>
      <c r="B73" s="393"/>
      <c r="C73" s="394"/>
      <c r="D73" s="383"/>
      <c r="E73" s="395"/>
      <c r="F73" s="395"/>
      <c r="G73" s="395"/>
      <c r="H73" s="395"/>
      <c r="I73" s="395"/>
      <c r="J73" s="395"/>
      <c r="K73" s="395"/>
    </row>
    <row r="74" spans="1:11" ht="16.5">
      <c r="A74" s="383"/>
      <c r="B74" s="393"/>
      <c r="C74" s="394"/>
      <c r="D74" s="383"/>
      <c r="E74" s="395"/>
      <c r="F74" s="395"/>
      <c r="G74" s="395"/>
      <c r="H74" s="395"/>
      <c r="I74" s="395"/>
      <c r="J74" s="395"/>
      <c r="K74" s="395"/>
    </row>
    <row r="75" spans="1:11" ht="16.5">
      <c r="A75" s="383"/>
      <c r="B75" s="393"/>
      <c r="C75" s="394"/>
      <c r="D75" s="383"/>
      <c r="E75" s="395"/>
      <c r="F75" s="395"/>
      <c r="G75" s="395"/>
      <c r="H75" s="395"/>
      <c r="I75" s="395"/>
      <c r="J75" s="395"/>
      <c r="K75" s="395"/>
    </row>
    <row r="76" spans="1:11" ht="16.5">
      <c r="A76" s="383"/>
      <c r="B76" s="393"/>
      <c r="C76" s="394"/>
      <c r="D76" s="383"/>
      <c r="E76" s="395"/>
      <c r="F76" s="395"/>
      <c r="G76" s="395"/>
      <c r="H76" s="395"/>
      <c r="I76" s="395"/>
      <c r="J76" s="395"/>
      <c r="K76" s="395"/>
    </row>
    <row r="77" spans="1:11" ht="16.5">
      <c r="A77" s="383"/>
      <c r="B77" s="393"/>
      <c r="C77" s="394"/>
      <c r="D77" s="383"/>
      <c r="E77" s="395"/>
      <c r="F77" s="395"/>
      <c r="G77" s="395"/>
      <c r="H77" s="395"/>
      <c r="I77" s="395"/>
      <c r="J77" s="395"/>
      <c r="K77" s="395"/>
    </row>
    <row r="78" spans="1:11" ht="16.5">
      <c r="A78" s="383"/>
      <c r="B78" s="393"/>
      <c r="C78" s="394"/>
      <c r="D78" s="383"/>
      <c r="E78" s="395"/>
      <c r="F78" s="395"/>
      <c r="G78" s="395"/>
      <c r="H78" s="395"/>
      <c r="I78" s="395"/>
      <c r="J78" s="395"/>
      <c r="K78" s="395"/>
    </row>
    <row r="79" spans="1:11" ht="16.5">
      <c r="A79" s="383"/>
      <c r="B79" s="393"/>
      <c r="C79" s="394"/>
      <c r="D79" s="383"/>
      <c r="E79" s="395"/>
      <c r="F79" s="395"/>
      <c r="G79" s="395"/>
      <c r="H79" s="395"/>
      <c r="I79" s="395"/>
      <c r="J79" s="395"/>
      <c r="K79" s="395"/>
    </row>
    <row r="80" spans="1:11" ht="16.5">
      <c r="A80" s="383"/>
      <c r="B80" s="393"/>
      <c r="C80" s="394"/>
      <c r="D80" s="383"/>
      <c r="E80" s="395"/>
      <c r="F80" s="395"/>
      <c r="G80" s="395"/>
      <c r="H80" s="395"/>
      <c r="I80" s="395"/>
      <c r="J80" s="395"/>
      <c r="K80" s="395"/>
    </row>
    <row r="81" spans="1:11" ht="16.5">
      <c r="A81" s="383"/>
      <c r="B81" s="393"/>
      <c r="C81" s="394"/>
      <c r="D81" s="383"/>
      <c r="E81" s="395"/>
      <c r="F81" s="395"/>
      <c r="G81" s="395"/>
      <c r="H81" s="395"/>
      <c r="I81" s="395"/>
      <c r="J81" s="395"/>
      <c r="K81" s="395"/>
    </row>
    <row r="82" spans="1:11" ht="16.5">
      <c r="A82" s="383"/>
      <c r="B82" s="393"/>
      <c r="C82" s="394"/>
      <c r="D82" s="383"/>
      <c r="E82" s="395"/>
      <c r="F82" s="395"/>
      <c r="G82" s="395"/>
      <c r="H82" s="395"/>
      <c r="I82" s="395"/>
      <c r="J82" s="395"/>
      <c r="K82" s="395"/>
    </row>
    <row r="83" spans="1:11" ht="16.5">
      <c r="A83" s="383"/>
      <c r="B83" s="393"/>
      <c r="C83" s="394"/>
      <c r="D83" s="383"/>
      <c r="E83" s="395"/>
      <c r="F83" s="395"/>
      <c r="G83" s="395"/>
      <c r="H83" s="395"/>
      <c r="I83" s="395"/>
      <c r="J83" s="395"/>
      <c r="K83" s="395"/>
    </row>
    <row r="84" spans="1:11" ht="16.5">
      <c r="A84" s="383"/>
      <c r="B84" s="393"/>
      <c r="C84" s="394"/>
      <c r="D84" s="383"/>
      <c r="E84" s="395"/>
      <c r="F84" s="395"/>
      <c r="G84" s="395"/>
      <c r="H84" s="395"/>
      <c r="I84" s="395"/>
      <c r="J84" s="395"/>
      <c r="K84" s="395"/>
    </row>
    <row r="85" spans="1:11" ht="16.5">
      <c r="A85" s="383"/>
      <c r="B85" s="393"/>
      <c r="C85" s="394"/>
      <c r="D85" s="383"/>
      <c r="E85" s="395"/>
      <c r="F85" s="395"/>
      <c r="G85" s="395"/>
      <c r="H85" s="395"/>
      <c r="I85" s="395"/>
      <c r="J85" s="395"/>
      <c r="K85" s="395"/>
    </row>
    <row r="86" spans="1:11" ht="16.5">
      <c r="A86" s="383"/>
      <c r="B86" s="393"/>
      <c r="C86" s="394"/>
      <c r="D86" s="383"/>
      <c r="E86" s="395"/>
      <c r="F86" s="395"/>
      <c r="G86" s="395"/>
      <c r="H86" s="395"/>
      <c r="I86" s="395"/>
      <c r="J86" s="395"/>
      <c r="K86" s="395"/>
    </row>
    <row r="87" spans="1:11" ht="16.5">
      <c r="A87" s="383"/>
      <c r="B87" s="393"/>
      <c r="C87" s="394"/>
      <c r="D87" s="383"/>
      <c r="E87" s="395"/>
      <c r="F87" s="395"/>
      <c r="G87" s="395"/>
      <c r="H87" s="395"/>
      <c r="I87" s="395"/>
      <c r="J87" s="395"/>
      <c r="K87" s="395"/>
    </row>
    <row r="88" spans="1:11" ht="16.5">
      <c r="A88" s="383"/>
      <c r="B88" s="393"/>
      <c r="C88" s="394"/>
      <c r="D88" s="383"/>
      <c r="E88" s="395"/>
      <c r="F88" s="395"/>
      <c r="G88" s="395"/>
      <c r="H88" s="395"/>
      <c r="I88" s="395"/>
      <c r="J88" s="395"/>
      <c r="K88" s="395"/>
    </row>
    <row r="89" spans="1:11" ht="16.5">
      <c r="A89" s="383"/>
      <c r="B89" s="393"/>
      <c r="C89" s="394"/>
      <c r="D89" s="383"/>
      <c r="E89" s="395"/>
      <c r="F89" s="395"/>
      <c r="G89" s="395"/>
      <c r="H89" s="395"/>
      <c r="I89" s="395"/>
      <c r="J89" s="395"/>
      <c r="K89" s="395"/>
    </row>
    <row r="90" spans="1:11" ht="16.5">
      <c r="A90" s="383"/>
      <c r="B90" s="393"/>
      <c r="C90" s="394"/>
      <c r="D90" s="383"/>
      <c r="E90" s="395"/>
      <c r="F90" s="395"/>
      <c r="G90" s="395"/>
      <c r="H90" s="395"/>
      <c r="I90" s="395"/>
      <c r="J90" s="395"/>
      <c r="K90" s="395"/>
    </row>
    <row r="91" spans="1:11" ht="16.5">
      <c r="A91" s="383"/>
      <c r="B91" s="393"/>
      <c r="C91" s="394"/>
      <c r="D91" s="383"/>
      <c r="E91" s="395"/>
      <c r="F91" s="395"/>
      <c r="G91" s="395"/>
      <c r="H91" s="395"/>
      <c r="I91" s="395"/>
      <c r="J91" s="395"/>
      <c r="K91" s="395"/>
    </row>
    <row r="92" spans="1:11" ht="16.5">
      <c r="A92" s="383"/>
      <c r="B92" s="393"/>
      <c r="C92" s="394"/>
      <c r="D92" s="383"/>
      <c r="E92" s="395"/>
      <c r="F92" s="395"/>
      <c r="G92" s="395"/>
      <c r="H92" s="395"/>
      <c r="I92" s="395"/>
      <c r="J92" s="395"/>
      <c r="K92" s="395"/>
    </row>
    <row r="93" spans="1:11" ht="16.5">
      <c r="A93" s="383"/>
      <c r="B93" s="393"/>
      <c r="C93" s="394"/>
      <c r="D93" s="383"/>
      <c r="E93" s="395"/>
      <c r="F93" s="395"/>
      <c r="G93" s="395"/>
      <c r="H93" s="395"/>
      <c r="I93" s="395"/>
      <c r="J93" s="395"/>
      <c r="K93" s="395"/>
    </row>
    <row r="94" spans="1:11" ht="16.5">
      <c r="A94" s="383"/>
      <c r="B94" s="393"/>
      <c r="C94" s="394"/>
      <c r="D94" s="383"/>
      <c r="E94" s="395"/>
      <c r="F94" s="395"/>
      <c r="G94" s="395"/>
      <c r="H94" s="395"/>
      <c r="I94" s="395"/>
      <c r="J94" s="395"/>
      <c r="K94" s="395"/>
    </row>
    <row r="95" spans="1:11" ht="16.5">
      <c r="A95" s="383"/>
      <c r="B95" s="393"/>
      <c r="C95" s="394"/>
      <c r="D95" s="383"/>
      <c r="E95" s="395"/>
      <c r="F95" s="395"/>
      <c r="G95" s="395"/>
      <c r="H95" s="395"/>
      <c r="I95" s="395"/>
      <c r="J95" s="395"/>
      <c r="K95" s="395"/>
    </row>
    <row r="96" spans="1:11" ht="16.5">
      <c r="A96" s="383"/>
      <c r="B96" s="393"/>
      <c r="C96" s="394"/>
      <c r="D96" s="383"/>
      <c r="E96" s="395"/>
      <c r="F96" s="395"/>
      <c r="G96" s="395"/>
      <c r="H96" s="395"/>
      <c r="I96" s="395"/>
      <c r="J96" s="395"/>
      <c r="K96" s="395"/>
    </row>
    <row r="97" spans="1:11" ht="16.5">
      <c r="A97" s="383"/>
      <c r="B97" s="393"/>
      <c r="C97" s="394"/>
      <c r="D97" s="383"/>
      <c r="E97" s="395"/>
      <c r="F97" s="395"/>
      <c r="G97" s="395"/>
      <c r="H97" s="395"/>
      <c r="I97" s="395"/>
      <c r="J97" s="395"/>
      <c r="K97" s="395"/>
    </row>
    <row r="98" spans="1:11" ht="16.5">
      <c r="A98" s="383"/>
      <c r="B98" s="393"/>
      <c r="C98" s="394"/>
      <c r="D98" s="383"/>
      <c r="E98" s="395"/>
      <c r="F98" s="395"/>
      <c r="G98" s="395"/>
      <c r="H98" s="395"/>
      <c r="I98" s="395"/>
      <c r="J98" s="395"/>
      <c r="K98" s="395"/>
    </row>
    <row r="99" spans="1:11" ht="16.5">
      <c r="A99" s="383"/>
      <c r="B99" s="393"/>
      <c r="C99" s="394"/>
      <c r="D99" s="383"/>
      <c r="E99" s="395"/>
      <c r="F99" s="395"/>
      <c r="G99" s="395"/>
      <c r="H99" s="395"/>
      <c r="I99" s="395"/>
      <c r="J99" s="395"/>
      <c r="K99" s="395"/>
    </row>
    <row r="100" spans="1:11" ht="16.5">
      <c r="A100" s="383"/>
      <c r="B100" s="393"/>
      <c r="C100" s="394"/>
      <c r="D100" s="383"/>
      <c r="E100" s="395"/>
      <c r="F100" s="395"/>
      <c r="G100" s="395"/>
      <c r="H100" s="395"/>
      <c r="I100" s="395"/>
      <c r="J100" s="395"/>
      <c r="K100" s="395"/>
    </row>
    <row r="101" spans="1:11" ht="16.5">
      <c r="A101" s="383"/>
      <c r="B101" s="393"/>
      <c r="C101" s="394"/>
      <c r="D101" s="383"/>
      <c r="E101" s="395"/>
      <c r="F101" s="395"/>
      <c r="G101" s="395"/>
      <c r="H101" s="395"/>
      <c r="I101" s="395"/>
      <c r="J101" s="395"/>
      <c r="K101" s="395"/>
    </row>
    <row r="102" spans="1:11" ht="16.5">
      <c r="A102" s="383"/>
      <c r="B102" s="393"/>
      <c r="C102" s="394"/>
      <c r="D102" s="383"/>
      <c r="E102" s="395"/>
      <c r="F102" s="395"/>
      <c r="G102" s="395"/>
      <c r="H102" s="395"/>
      <c r="I102" s="395"/>
      <c r="J102" s="395"/>
      <c r="K102" s="395"/>
    </row>
    <row r="103" spans="1:11" ht="16.5">
      <c r="A103" s="383"/>
      <c r="B103" s="393"/>
      <c r="C103" s="394"/>
      <c r="D103" s="383"/>
      <c r="E103" s="395"/>
      <c r="F103" s="395"/>
      <c r="G103" s="395"/>
      <c r="H103" s="395"/>
      <c r="I103" s="395"/>
      <c r="J103" s="395"/>
      <c r="K103" s="395"/>
    </row>
    <row r="104" spans="1:11" ht="16.5">
      <c r="A104" s="383"/>
      <c r="B104" s="393"/>
      <c r="C104" s="394"/>
      <c r="D104" s="383"/>
      <c r="E104" s="395"/>
      <c r="F104" s="395"/>
      <c r="G104" s="395"/>
      <c r="H104" s="395"/>
      <c r="I104" s="395"/>
      <c r="J104" s="395"/>
      <c r="K104" s="395"/>
    </row>
    <row r="105" spans="1:11" ht="16.5">
      <c r="A105" s="383"/>
      <c r="B105" s="393"/>
      <c r="C105" s="394"/>
      <c r="D105" s="383"/>
      <c r="E105" s="395"/>
      <c r="F105" s="395"/>
      <c r="G105" s="395"/>
      <c r="H105" s="395"/>
      <c r="I105" s="395"/>
      <c r="J105" s="395"/>
      <c r="K105" s="395"/>
    </row>
    <row r="106" spans="1:11" ht="16.5">
      <c r="A106" s="383"/>
      <c r="B106" s="393"/>
      <c r="C106" s="394"/>
      <c r="D106" s="383"/>
      <c r="E106" s="395"/>
      <c r="F106" s="395"/>
      <c r="G106" s="395"/>
      <c r="H106" s="395"/>
      <c r="I106" s="395"/>
      <c r="J106" s="395"/>
      <c r="K106" s="395"/>
    </row>
    <row r="107" spans="1:11" ht="16.5">
      <c r="A107" s="383"/>
      <c r="B107" s="393"/>
      <c r="C107" s="394"/>
      <c r="D107" s="383"/>
      <c r="E107" s="395"/>
      <c r="F107" s="395"/>
      <c r="G107" s="395"/>
      <c r="H107" s="395"/>
      <c r="I107" s="395"/>
      <c r="J107" s="395"/>
      <c r="K107" s="395"/>
    </row>
    <row r="108" spans="1:11" ht="16.5">
      <c r="A108" s="383"/>
      <c r="B108" s="393"/>
      <c r="C108" s="394"/>
      <c r="D108" s="383"/>
      <c r="E108" s="395"/>
      <c r="F108" s="395"/>
      <c r="G108" s="395"/>
      <c r="H108" s="395"/>
      <c r="I108" s="395"/>
      <c r="J108" s="395"/>
      <c r="K108" s="395"/>
    </row>
    <row r="109" spans="1:11" ht="16.5">
      <c r="A109" s="383"/>
      <c r="B109" s="393"/>
      <c r="C109" s="394"/>
      <c r="D109" s="383"/>
      <c r="E109" s="395"/>
      <c r="F109" s="395"/>
      <c r="G109" s="395"/>
      <c r="H109" s="395"/>
      <c r="I109" s="395"/>
      <c r="J109" s="395"/>
      <c r="K109" s="395"/>
    </row>
    <row r="110" spans="1:11" ht="16.5">
      <c r="A110" s="383"/>
      <c r="B110" s="393"/>
      <c r="C110" s="394"/>
      <c r="D110" s="383"/>
      <c r="E110" s="395"/>
      <c r="F110" s="395"/>
      <c r="G110" s="395"/>
      <c r="H110" s="395"/>
      <c r="I110" s="395"/>
      <c r="J110" s="395"/>
      <c r="K110" s="395"/>
    </row>
    <row r="111" spans="1:11" ht="16.5">
      <c r="A111" s="383"/>
      <c r="B111" s="393"/>
      <c r="C111" s="394"/>
      <c r="D111" s="383"/>
      <c r="E111" s="395"/>
      <c r="F111" s="395"/>
      <c r="G111" s="395"/>
      <c r="H111" s="395"/>
      <c r="I111" s="395"/>
      <c r="J111" s="395"/>
      <c r="K111" s="395"/>
    </row>
    <row r="112" spans="1:11" ht="16.5">
      <c r="A112" s="383"/>
      <c r="B112" s="393"/>
      <c r="C112" s="394"/>
      <c r="D112" s="383"/>
      <c r="E112" s="395"/>
      <c r="F112" s="395"/>
      <c r="G112" s="395"/>
      <c r="H112" s="395"/>
      <c r="I112" s="395"/>
      <c r="J112" s="395"/>
      <c r="K112" s="395"/>
    </row>
    <row r="113" spans="1:11" ht="16.5">
      <c r="A113" s="383"/>
      <c r="B113" s="393"/>
      <c r="C113" s="394"/>
      <c r="D113" s="383"/>
      <c r="E113" s="395"/>
      <c r="F113" s="395"/>
      <c r="G113" s="395"/>
      <c r="H113" s="395"/>
      <c r="I113" s="395"/>
      <c r="J113" s="395"/>
      <c r="K113" s="395"/>
    </row>
    <row r="114" spans="1:11" ht="16.5">
      <c r="A114" s="383"/>
      <c r="B114" s="393"/>
      <c r="C114" s="394"/>
      <c r="D114" s="383"/>
      <c r="E114" s="395"/>
      <c r="F114" s="395"/>
      <c r="G114" s="395"/>
      <c r="H114" s="395"/>
      <c r="I114" s="395"/>
      <c r="J114" s="395"/>
      <c r="K114" s="395"/>
    </row>
    <row r="115" spans="1:11" ht="16.5">
      <c r="A115" s="383"/>
      <c r="B115" s="393"/>
      <c r="C115" s="394"/>
      <c r="D115" s="383"/>
      <c r="E115" s="395"/>
      <c r="F115" s="395"/>
      <c r="G115" s="395"/>
      <c r="H115" s="395"/>
      <c r="I115" s="395"/>
      <c r="J115" s="395"/>
      <c r="K115" s="395"/>
    </row>
    <row r="116" spans="1:11" ht="16.5">
      <c r="A116" s="383"/>
      <c r="B116" s="393"/>
      <c r="C116" s="394"/>
      <c r="D116" s="383"/>
      <c r="E116" s="395"/>
      <c r="F116" s="395"/>
      <c r="G116" s="395"/>
      <c r="H116" s="395"/>
      <c r="I116" s="395"/>
      <c r="J116" s="395"/>
      <c r="K116" s="395"/>
    </row>
    <row r="117" spans="1:11" ht="16.5">
      <c r="A117" s="383"/>
      <c r="B117" s="393"/>
      <c r="C117" s="394"/>
      <c r="D117" s="383"/>
      <c r="E117" s="395"/>
      <c r="F117" s="395"/>
      <c r="G117" s="395"/>
      <c r="H117" s="395"/>
      <c r="I117" s="395"/>
      <c r="J117" s="395"/>
      <c r="K117" s="395"/>
    </row>
    <row r="118" spans="1:11" ht="16.5">
      <c r="A118" s="383"/>
      <c r="B118" s="393"/>
      <c r="C118" s="394"/>
      <c r="D118" s="383"/>
      <c r="E118" s="395"/>
      <c r="F118" s="395"/>
      <c r="G118" s="395"/>
      <c r="H118" s="395"/>
      <c r="I118" s="395"/>
      <c r="J118" s="395"/>
      <c r="K118" s="395"/>
    </row>
    <row r="119" spans="1:11" ht="16.5">
      <c r="A119" s="383"/>
      <c r="B119" s="393"/>
      <c r="C119" s="394"/>
      <c r="D119" s="383"/>
      <c r="E119" s="395"/>
      <c r="F119" s="395"/>
      <c r="G119" s="395"/>
      <c r="H119" s="395"/>
      <c r="I119" s="395"/>
      <c r="J119" s="395"/>
      <c r="K119" s="395"/>
    </row>
    <row r="120" spans="1:11" ht="16.5">
      <c r="A120" s="383"/>
      <c r="B120" s="393"/>
      <c r="C120" s="394"/>
      <c r="D120" s="383"/>
      <c r="E120" s="395"/>
      <c r="F120" s="395"/>
      <c r="G120" s="395"/>
      <c r="H120" s="395"/>
      <c r="I120" s="395"/>
      <c r="J120" s="395"/>
      <c r="K120" s="395"/>
    </row>
    <row r="121" spans="1:11" ht="16.5">
      <c r="A121" s="383"/>
      <c r="B121" s="393"/>
      <c r="C121" s="394"/>
      <c r="D121" s="383"/>
      <c r="E121" s="395"/>
      <c r="F121" s="395"/>
      <c r="G121" s="395"/>
      <c r="H121" s="395"/>
      <c r="I121" s="395"/>
      <c r="J121" s="395"/>
      <c r="K121" s="395"/>
    </row>
    <row r="122" spans="1:11" ht="16.5">
      <c r="A122" s="383"/>
      <c r="B122" s="393"/>
      <c r="C122" s="394"/>
      <c r="D122" s="383"/>
      <c r="E122" s="395"/>
      <c r="F122" s="395"/>
      <c r="G122" s="395"/>
      <c r="H122" s="395"/>
      <c r="I122" s="395"/>
      <c r="J122" s="395"/>
      <c r="K122" s="395"/>
    </row>
    <row r="123" spans="1:11" ht="16.5">
      <c r="A123" s="383"/>
      <c r="B123" s="393"/>
      <c r="C123" s="394"/>
      <c r="D123" s="383"/>
      <c r="E123" s="395"/>
      <c r="F123" s="395"/>
      <c r="G123" s="395"/>
      <c r="H123" s="395"/>
      <c r="I123" s="395"/>
      <c r="J123" s="395"/>
      <c r="K123" s="395"/>
    </row>
    <row r="124" spans="1:11" ht="16.5">
      <c r="A124" s="383"/>
      <c r="B124" s="393"/>
      <c r="C124" s="394"/>
      <c r="D124" s="383"/>
      <c r="E124" s="395"/>
      <c r="F124" s="395"/>
      <c r="G124" s="395"/>
      <c r="H124" s="395"/>
      <c r="I124" s="395"/>
      <c r="J124" s="395"/>
      <c r="K124" s="395"/>
    </row>
    <row r="125" spans="1:11" ht="16.5">
      <c r="A125" s="383"/>
      <c r="B125" s="393"/>
      <c r="C125" s="394"/>
      <c r="D125" s="383"/>
      <c r="E125" s="395"/>
      <c r="F125" s="395"/>
      <c r="G125" s="395"/>
      <c r="H125" s="395"/>
      <c r="I125" s="395"/>
      <c r="J125" s="395"/>
      <c r="K125" s="395"/>
    </row>
    <row r="126" spans="1:11" ht="16.5">
      <c r="A126" s="383"/>
      <c r="B126" s="393"/>
      <c r="C126" s="394"/>
      <c r="D126" s="383"/>
      <c r="E126" s="395"/>
      <c r="F126" s="395"/>
      <c r="G126" s="395"/>
      <c r="H126" s="395"/>
      <c r="I126" s="395"/>
      <c r="J126" s="395"/>
      <c r="K126" s="395"/>
    </row>
    <row r="127" spans="1:11" ht="16.5">
      <c r="A127" s="383"/>
      <c r="B127" s="393"/>
      <c r="C127" s="394"/>
      <c r="D127" s="383"/>
      <c r="E127" s="395"/>
      <c r="F127" s="395"/>
      <c r="G127" s="395"/>
      <c r="H127" s="395"/>
      <c r="I127" s="395"/>
      <c r="J127" s="395"/>
      <c r="K127" s="395"/>
    </row>
    <row r="128" spans="1:11" ht="16.5">
      <c r="A128" s="383"/>
      <c r="B128" s="393"/>
      <c r="C128" s="394"/>
      <c r="D128" s="383"/>
      <c r="E128" s="395"/>
      <c r="F128" s="395"/>
      <c r="G128" s="395"/>
      <c r="H128" s="395"/>
      <c r="I128" s="395"/>
      <c r="J128" s="395"/>
      <c r="K128" s="395"/>
    </row>
    <row r="129" spans="1:11" ht="16.5">
      <c r="A129" s="383"/>
      <c r="B129" s="393"/>
      <c r="C129" s="394"/>
      <c r="D129" s="383"/>
      <c r="E129" s="395"/>
      <c r="F129" s="395"/>
      <c r="G129" s="395"/>
      <c r="H129" s="395"/>
      <c r="I129" s="395"/>
      <c r="J129" s="395"/>
      <c r="K129" s="395"/>
    </row>
    <row r="130" spans="1:11" ht="16.5">
      <c r="A130" s="383"/>
      <c r="B130" s="393"/>
      <c r="C130" s="394"/>
      <c r="D130" s="383"/>
      <c r="E130" s="395"/>
      <c r="F130" s="395"/>
      <c r="G130" s="395"/>
      <c r="H130" s="395"/>
      <c r="I130" s="395"/>
      <c r="J130" s="395"/>
      <c r="K130" s="395"/>
    </row>
    <row r="131" spans="1:11" ht="16.5">
      <c r="A131" s="383"/>
      <c r="B131" s="393"/>
      <c r="C131" s="394"/>
      <c r="D131" s="383"/>
      <c r="E131" s="395"/>
      <c r="F131" s="395"/>
      <c r="G131" s="395"/>
      <c r="H131" s="395"/>
      <c r="I131" s="395"/>
      <c r="J131" s="395"/>
      <c r="K131" s="395"/>
    </row>
    <row r="132" spans="1:11" ht="16.5">
      <c r="A132" s="383"/>
      <c r="B132" s="393"/>
      <c r="C132" s="394"/>
      <c r="D132" s="383"/>
      <c r="E132" s="395"/>
      <c r="F132" s="395"/>
      <c r="G132" s="395"/>
      <c r="H132" s="395"/>
      <c r="I132" s="395"/>
      <c r="J132" s="395"/>
      <c r="K132" s="395"/>
    </row>
    <row r="133" spans="1:11" ht="16.5">
      <c r="A133" s="383"/>
      <c r="B133" s="393"/>
      <c r="C133" s="394"/>
      <c r="D133" s="383"/>
      <c r="E133" s="395"/>
      <c r="F133" s="395"/>
      <c r="G133" s="395"/>
      <c r="H133" s="395"/>
      <c r="I133" s="395"/>
      <c r="J133" s="395"/>
      <c r="K133" s="395"/>
    </row>
    <row r="134" spans="1:11" ht="16.5">
      <c r="A134" s="383"/>
      <c r="B134" s="393"/>
      <c r="C134" s="394"/>
      <c r="D134" s="383"/>
      <c r="E134" s="395"/>
      <c r="F134" s="395"/>
      <c r="G134" s="395"/>
      <c r="H134" s="395"/>
      <c r="I134" s="395"/>
      <c r="J134" s="395"/>
      <c r="K134" s="395"/>
    </row>
    <row r="135" spans="1:11" ht="16.5">
      <c r="A135" s="383"/>
      <c r="B135" s="393"/>
      <c r="C135" s="394"/>
      <c r="D135" s="383"/>
      <c r="E135" s="395"/>
      <c r="F135" s="395"/>
      <c r="G135" s="395"/>
      <c r="H135" s="395"/>
      <c r="I135" s="395"/>
      <c r="J135" s="395"/>
      <c r="K135" s="395"/>
    </row>
    <row r="136" spans="1:11" ht="16.5">
      <c r="A136" s="383"/>
      <c r="B136" s="393"/>
      <c r="C136" s="394"/>
      <c r="D136" s="383"/>
      <c r="E136" s="395"/>
      <c r="F136" s="395"/>
      <c r="G136" s="395"/>
      <c r="H136" s="395"/>
      <c r="I136" s="395"/>
      <c r="J136" s="395"/>
      <c r="K136" s="395"/>
    </row>
    <row r="137" spans="1:11" ht="16.5">
      <c r="A137" s="383"/>
      <c r="B137" s="393"/>
      <c r="C137" s="394"/>
      <c r="D137" s="383"/>
      <c r="E137" s="395"/>
      <c r="F137" s="395"/>
      <c r="G137" s="395"/>
      <c r="H137" s="395"/>
      <c r="I137" s="395"/>
      <c r="J137" s="395"/>
      <c r="K137" s="395"/>
    </row>
    <row r="138" spans="1:11" ht="16.5">
      <c r="A138" s="383"/>
      <c r="B138" s="393"/>
      <c r="C138" s="394"/>
      <c r="D138" s="383"/>
      <c r="E138" s="395"/>
      <c r="F138" s="395"/>
      <c r="G138" s="395"/>
      <c r="H138" s="395"/>
      <c r="I138" s="395"/>
      <c r="J138" s="395"/>
      <c r="K138" s="395"/>
    </row>
    <row r="139" spans="1:11" ht="16.5">
      <c r="A139" s="383"/>
      <c r="B139" s="393"/>
      <c r="C139" s="394"/>
      <c r="D139" s="383"/>
      <c r="E139" s="395"/>
      <c r="F139" s="395"/>
      <c r="G139" s="395"/>
      <c r="H139" s="395"/>
      <c r="I139" s="395"/>
      <c r="J139" s="395"/>
      <c r="K139" s="395"/>
    </row>
    <row r="140" spans="1:11" ht="16.5">
      <c r="A140" s="383"/>
      <c r="B140" s="393"/>
      <c r="C140" s="394"/>
      <c r="D140" s="383"/>
      <c r="E140" s="395"/>
      <c r="F140" s="395"/>
      <c r="G140" s="395"/>
      <c r="H140" s="395"/>
      <c r="I140" s="395"/>
      <c r="J140" s="395"/>
      <c r="K140" s="395"/>
    </row>
    <row r="141" spans="1:11" ht="16.5">
      <c r="A141" s="383"/>
      <c r="B141" s="393"/>
      <c r="C141" s="394"/>
      <c r="D141" s="383"/>
      <c r="E141" s="395"/>
      <c r="F141" s="395"/>
      <c r="G141" s="395"/>
      <c r="H141" s="395"/>
      <c r="I141" s="395"/>
      <c r="J141" s="395"/>
      <c r="K141" s="395"/>
    </row>
    <row r="142" spans="1:11" ht="16.5">
      <c r="A142" s="383"/>
      <c r="B142" s="393"/>
      <c r="C142" s="394"/>
      <c r="D142" s="383"/>
      <c r="E142" s="395"/>
      <c r="F142" s="395"/>
      <c r="G142" s="395"/>
      <c r="H142" s="395"/>
      <c r="I142" s="395"/>
      <c r="J142" s="395"/>
      <c r="K142" s="395"/>
    </row>
    <row r="143" spans="1:11" ht="16.5">
      <c r="A143" s="383"/>
      <c r="B143" s="393"/>
      <c r="C143" s="394"/>
      <c r="D143" s="383"/>
      <c r="E143" s="395"/>
      <c r="F143" s="395"/>
      <c r="G143" s="395"/>
      <c r="H143" s="395"/>
      <c r="I143" s="395"/>
      <c r="J143" s="395"/>
      <c r="K143" s="395"/>
    </row>
    <row r="144" spans="1:11" ht="16.5">
      <c r="A144" s="383"/>
      <c r="B144" s="393"/>
      <c r="C144" s="394"/>
      <c r="D144" s="383"/>
      <c r="E144" s="395"/>
      <c r="F144" s="395"/>
      <c r="G144" s="395"/>
      <c r="H144" s="395"/>
      <c r="I144" s="395"/>
      <c r="J144" s="395"/>
      <c r="K144" s="395"/>
    </row>
    <row r="145" spans="1:11" ht="16.5">
      <c r="A145" s="383"/>
      <c r="B145" s="393"/>
      <c r="C145" s="394"/>
      <c r="D145" s="383"/>
      <c r="E145" s="395"/>
      <c r="F145" s="395"/>
      <c r="G145" s="395"/>
      <c r="H145" s="395"/>
      <c r="I145" s="395"/>
      <c r="J145" s="395"/>
      <c r="K145" s="395"/>
    </row>
    <row r="146" spans="1:11" ht="16.5">
      <c r="A146" s="383"/>
      <c r="B146" s="393"/>
      <c r="C146" s="394"/>
      <c r="D146" s="383"/>
      <c r="E146" s="395"/>
      <c r="F146" s="395"/>
      <c r="G146" s="395"/>
      <c r="H146" s="395"/>
      <c r="I146" s="395"/>
      <c r="J146" s="395"/>
      <c r="K146" s="395"/>
    </row>
    <row r="147" spans="1:11" ht="16.5">
      <c r="A147" s="383"/>
      <c r="B147" s="393"/>
      <c r="C147" s="394"/>
      <c r="D147" s="383"/>
      <c r="E147" s="395"/>
      <c r="F147" s="395"/>
      <c r="G147" s="395"/>
      <c r="H147" s="395"/>
      <c r="I147" s="395"/>
      <c r="J147" s="395"/>
      <c r="K147" s="395"/>
    </row>
    <row r="148" spans="1:11" ht="16.5">
      <c r="A148" s="383"/>
      <c r="B148" s="393"/>
      <c r="C148" s="394"/>
      <c r="D148" s="383"/>
      <c r="E148" s="395"/>
      <c r="F148" s="395"/>
      <c r="G148" s="395"/>
      <c r="H148" s="395"/>
      <c r="I148" s="395"/>
      <c r="J148" s="395"/>
      <c r="K148" s="395"/>
    </row>
    <row r="149" spans="1:11" ht="16.5">
      <c r="A149" s="383"/>
      <c r="B149" s="393"/>
      <c r="C149" s="394"/>
      <c r="D149" s="383"/>
      <c r="E149" s="395"/>
      <c r="F149" s="395"/>
      <c r="G149" s="395"/>
      <c r="H149" s="395"/>
      <c r="I149" s="395"/>
      <c r="J149" s="395"/>
      <c r="K149" s="395"/>
    </row>
    <row r="150" spans="1:11" ht="16.5">
      <c r="A150" s="383"/>
      <c r="B150" s="393"/>
      <c r="C150" s="394"/>
      <c r="D150" s="383"/>
      <c r="E150" s="395"/>
      <c r="F150" s="395"/>
      <c r="G150" s="395"/>
      <c r="H150" s="395"/>
      <c r="I150" s="395"/>
      <c r="J150" s="395"/>
      <c r="K150" s="395"/>
    </row>
    <row r="151" spans="1:11" ht="16.5">
      <c r="A151" s="383"/>
      <c r="B151" s="393"/>
      <c r="C151" s="394"/>
      <c r="D151" s="383"/>
      <c r="E151" s="395"/>
      <c r="F151" s="395"/>
      <c r="G151" s="395"/>
      <c r="H151" s="395"/>
      <c r="I151" s="395"/>
      <c r="J151" s="395"/>
      <c r="K151" s="395"/>
    </row>
    <row r="152" spans="1:11" ht="16.5">
      <c r="A152" s="383"/>
      <c r="B152" s="393"/>
      <c r="C152" s="394"/>
      <c r="D152" s="383"/>
      <c r="E152" s="395"/>
      <c r="F152" s="395"/>
      <c r="G152" s="395"/>
      <c r="H152" s="395"/>
      <c r="I152" s="395"/>
      <c r="J152" s="395"/>
      <c r="K152" s="395"/>
    </row>
    <row r="153" spans="1:11" ht="16.5">
      <c r="A153" s="383"/>
      <c r="B153" s="393"/>
      <c r="C153" s="394"/>
      <c r="D153" s="383"/>
      <c r="E153" s="395"/>
      <c r="F153" s="395"/>
      <c r="G153" s="395"/>
      <c r="H153" s="395"/>
      <c r="I153" s="395"/>
      <c r="J153" s="395"/>
      <c r="K153" s="395"/>
    </row>
    <row r="154" spans="1:11" ht="16.5">
      <c r="A154" s="383"/>
      <c r="B154" s="393"/>
      <c r="C154" s="394"/>
      <c r="D154" s="383"/>
      <c r="E154" s="395"/>
      <c r="F154" s="395"/>
      <c r="G154" s="395"/>
      <c r="H154" s="395"/>
      <c r="I154" s="395"/>
      <c r="J154" s="395"/>
      <c r="K154" s="395"/>
    </row>
    <row r="155" spans="1:11" ht="16.5">
      <c r="A155" s="383"/>
      <c r="B155" s="393"/>
      <c r="C155" s="394"/>
      <c r="D155" s="383"/>
      <c r="E155" s="395"/>
      <c r="F155" s="395"/>
      <c r="G155" s="395"/>
      <c r="H155" s="395"/>
      <c r="I155" s="395"/>
      <c r="J155" s="395"/>
      <c r="K155" s="395"/>
    </row>
    <row r="156" spans="1:11" ht="16.5">
      <c r="A156" s="383"/>
      <c r="B156" s="393"/>
      <c r="C156" s="394"/>
      <c r="D156" s="383"/>
      <c r="E156" s="395"/>
      <c r="F156" s="395"/>
      <c r="G156" s="395"/>
      <c r="H156" s="395"/>
      <c r="I156" s="395"/>
      <c r="J156" s="395"/>
      <c r="K156" s="395"/>
    </row>
    <row r="157" spans="1:11" ht="16.5">
      <c r="A157" s="383"/>
      <c r="B157" s="393"/>
      <c r="C157" s="394"/>
      <c r="D157" s="383"/>
      <c r="E157" s="395"/>
      <c r="F157" s="395"/>
      <c r="G157" s="395"/>
      <c r="H157" s="395"/>
      <c r="I157" s="395"/>
      <c r="J157" s="395"/>
      <c r="K157" s="395"/>
    </row>
    <row r="158" spans="1:11" ht="16.5">
      <c r="A158" s="383"/>
      <c r="B158" s="393"/>
      <c r="C158" s="394"/>
      <c r="D158" s="383"/>
      <c r="E158" s="395"/>
      <c r="F158" s="395"/>
      <c r="G158" s="395"/>
      <c r="H158" s="395"/>
      <c r="I158" s="395"/>
      <c r="J158" s="395"/>
      <c r="K158" s="395"/>
    </row>
    <row r="159" spans="1:11" ht="16.5">
      <c r="A159" s="383"/>
      <c r="B159" s="393"/>
      <c r="C159" s="394"/>
      <c r="D159" s="383"/>
      <c r="E159" s="395"/>
      <c r="F159" s="395"/>
      <c r="G159" s="395"/>
      <c r="H159" s="395"/>
      <c r="I159" s="395"/>
      <c r="J159" s="395"/>
      <c r="K159" s="395"/>
    </row>
    <row r="160" spans="1:11" ht="16.5">
      <c r="A160" s="383"/>
      <c r="B160" s="393"/>
      <c r="C160" s="394"/>
      <c r="D160" s="383"/>
      <c r="E160" s="395"/>
      <c r="F160" s="395"/>
      <c r="G160" s="395"/>
      <c r="H160" s="395"/>
      <c r="I160" s="395"/>
      <c r="J160" s="395"/>
      <c r="K160" s="395"/>
    </row>
    <row r="161" spans="1:11" ht="16.5">
      <c r="A161" s="383"/>
      <c r="B161" s="393"/>
      <c r="C161" s="394"/>
      <c r="D161" s="383"/>
      <c r="E161" s="395"/>
      <c r="F161" s="395"/>
      <c r="G161" s="395"/>
      <c r="H161" s="395"/>
      <c r="I161" s="395"/>
      <c r="J161" s="395"/>
      <c r="K161" s="395"/>
    </row>
    <row r="162" spans="1:11" ht="16.5">
      <c r="A162" s="383"/>
      <c r="B162" s="393"/>
      <c r="C162" s="394"/>
      <c r="D162" s="383"/>
      <c r="E162" s="395"/>
      <c r="F162" s="395"/>
      <c r="G162" s="395"/>
      <c r="H162" s="395"/>
      <c r="I162" s="395"/>
      <c r="J162" s="395"/>
      <c r="K162" s="395"/>
    </row>
    <row r="163" spans="1:11" ht="16.5">
      <c r="A163" s="383"/>
      <c r="B163" s="393"/>
      <c r="C163" s="394"/>
      <c r="D163" s="383"/>
      <c r="E163" s="395"/>
      <c r="F163" s="395"/>
      <c r="G163" s="395"/>
      <c r="H163" s="395"/>
      <c r="I163" s="395"/>
      <c r="J163" s="395"/>
      <c r="K163" s="395"/>
    </row>
    <row r="164" spans="1:11" ht="16.5">
      <c r="A164" s="383"/>
      <c r="B164" s="393"/>
      <c r="C164" s="394"/>
      <c r="D164" s="383"/>
      <c r="E164" s="395"/>
      <c r="F164" s="395"/>
      <c r="G164" s="395"/>
      <c r="H164" s="395"/>
      <c r="I164" s="395"/>
      <c r="J164" s="395"/>
      <c r="K164" s="395"/>
    </row>
    <row r="165" spans="1:11" ht="16.5">
      <c r="A165" s="383"/>
      <c r="B165" s="393"/>
      <c r="C165" s="394"/>
      <c r="D165" s="383"/>
      <c r="E165" s="395"/>
      <c r="F165" s="395"/>
      <c r="G165" s="395"/>
      <c r="H165" s="395"/>
      <c r="I165" s="395"/>
      <c r="J165" s="395"/>
      <c r="K165" s="395"/>
    </row>
    <row r="166" spans="1:11" ht="16.5">
      <c r="A166" s="383"/>
      <c r="B166" s="393"/>
      <c r="C166" s="394"/>
      <c r="D166" s="383"/>
      <c r="E166" s="395"/>
      <c r="F166" s="395"/>
      <c r="G166" s="395"/>
      <c r="H166" s="395"/>
      <c r="I166" s="395"/>
      <c r="J166" s="395"/>
      <c r="K166" s="395"/>
    </row>
    <row r="167" spans="1:11" ht="16.5">
      <c r="A167" s="383"/>
      <c r="B167" s="393"/>
      <c r="C167" s="394"/>
      <c r="D167" s="383"/>
      <c r="E167" s="395"/>
      <c r="F167" s="395"/>
      <c r="G167" s="395"/>
      <c r="H167" s="395"/>
      <c r="I167" s="395"/>
      <c r="J167" s="395"/>
      <c r="K167" s="395"/>
    </row>
    <row r="168" spans="1:11" ht="16.5">
      <c r="A168" s="383"/>
      <c r="B168" s="393"/>
      <c r="C168" s="394"/>
      <c r="D168" s="383"/>
      <c r="E168" s="395"/>
      <c r="F168" s="395"/>
      <c r="G168" s="395"/>
      <c r="H168" s="395"/>
      <c r="I168" s="395"/>
      <c r="J168" s="395"/>
      <c r="K168" s="395"/>
    </row>
    <row r="169" spans="1:11" ht="16.5">
      <c r="A169" s="383"/>
      <c r="B169" s="393"/>
      <c r="C169" s="394"/>
      <c r="D169" s="383"/>
      <c r="E169" s="395"/>
      <c r="F169" s="395"/>
      <c r="G169" s="395"/>
      <c r="H169" s="395"/>
      <c r="I169" s="395"/>
      <c r="J169" s="395"/>
      <c r="K169" s="395"/>
    </row>
    <row r="170" spans="1:11" ht="16.5">
      <c r="A170" s="383"/>
      <c r="B170" s="393"/>
      <c r="C170" s="394"/>
      <c r="D170" s="383"/>
      <c r="E170" s="395"/>
      <c r="F170" s="395"/>
      <c r="G170" s="395"/>
      <c r="H170" s="395"/>
      <c r="I170" s="395"/>
      <c r="J170" s="395"/>
      <c r="K170" s="395"/>
    </row>
    <row r="171" spans="1:11" ht="16.5">
      <c r="A171" s="383"/>
      <c r="B171" s="393"/>
      <c r="C171" s="394"/>
      <c r="D171" s="383"/>
      <c r="E171" s="395"/>
      <c r="F171" s="395"/>
      <c r="G171" s="395"/>
      <c r="H171" s="395"/>
      <c r="I171" s="395"/>
      <c r="J171" s="395"/>
      <c r="K171" s="395"/>
    </row>
    <row r="172" spans="1:11" ht="16.5">
      <c r="A172" s="383"/>
      <c r="B172" s="393"/>
      <c r="C172" s="394"/>
      <c r="D172" s="383"/>
      <c r="E172" s="395"/>
      <c r="F172" s="395"/>
      <c r="G172" s="395"/>
      <c r="H172" s="395"/>
      <c r="I172" s="395"/>
      <c r="J172" s="395"/>
      <c r="K172" s="395"/>
    </row>
    <row r="173" spans="1:11" ht="16.5">
      <c r="A173" s="383"/>
      <c r="B173" s="393"/>
      <c r="C173" s="394"/>
      <c r="D173" s="383"/>
      <c r="E173" s="395"/>
      <c r="F173" s="395"/>
      <c r="G173" s="395"/>
      <c r="H173" s="395"/>
      <c r="I173" s="395"/>
      <c r="J173" s="395"/>
      <c r="K173" s="395"/>
    </row>
    <row r="174" spans="1:11" ht="16.5">
      <c r="A174" s="383"/>
      <c r="B174" s="393"/>
      <c r="C174" s="394"/>
      <c r="D174" s="383"/>
      <c r="E174" s="395"/>
      <c r="F174" s="395"/>
      <c r="G174" s="395"/>
      <c r="H174" s="395"/>
      <c r="I174" s="395"/>
      <c r="J174" s="395"/>
      <c r="K174" s="395"/>
    </row>
    <row r="175" spans="1:11" ht="16.5">
      <c r="A175" s="383"/>
      <c r="B175" s="393"/>
      <c r="C175" s="394"/>
      <c r="D175" s="383"/>
      <c r="E175" s="395"/>
      <c r="F175" s="395"/>
      <c r="G175" s="395"/>
      <c r="H175" s="395"/>
      <c r="I175" s="395"/>
      <c r="J175" s="395"/>
      <c r="K175" s="395"/>
    </row>
    <row r="176" spans="1:11" ht="16.5">
      <c r="A176" s="383"/>
      <c r="B176" s="393"/>
      <c r="C176" s="394"/>
      <c r="D176" s="383"/>
      <c r="E176" s="395"/>
      <c r="F176" s="395"/>
      <c r="G176" s="395"/>
      <c r="H176" s="395"/>
      <c r="I176" s="395"/>
      <c r="J176" s="395"/>
      <c r="K176" s="395"/>
    </row>
    <row r="177" spans="1:11" ht="16.5">
      <c r="A177" s="383"/>
      <c r="B177" s="393"/>
      <c r="C177" s="394"/>
      <c r="D177" s="383"/>
      <c r="E177" s="395"/>
      <c r="F177" s="395"/>
      <c r="G177" s="395"/>
      <c r="H177" s="395"/>
      <c r="I177" s="395"/>
      <c r="J177" s="395"/>
      <c r="K177" s="395"/>
    </row>
    <row r="178" spans="1:11" ht="16.5">
      <c r="A178" s="383"/>
      <c r="B178" s="393"/>
      <c r="C178" s="394"/>
      <c r="D178" s="383"/>
      <c r="E178" s="395"/>
      <c r="F178" s="395"/>
      <c r="G178" s="395"/>
      <c r="H178" s="395"/>
      <c r="I178" s="395"/>
      <c r="J178" s="395"/>
      <c r="K178" s="395"/>
    </row>
    <row r="179" spans="1:11" ht="16.5">
      <c r="A179" s="383"/>
      <c r="B179" s="393"/>
      <c r="C179" s="394"/>
      <c r="D179" s="383"/>
      <c r="E179" s="395"/>
      <c r="F179" s="395"/>
      <c r="G179" s="395"/>
      <c r="H179" s="395"/>
      <c r="I179" s="395"/>
      <c r="J179" s="395"/>
      <c r="K179" s="395"/>
    </row>
    <row r="180" spans="1:11" ht="16.5">
      <c r="A180" s="383"/>
      <c r="B180" s="393"/>
      <c r="C180" s="394"/>
      <c r="D180" s="383"/>
      <c r="E180" s="395"/>
      <c r="F180" s="395"/>
      <c r="G180" s="395"/>
      <c r="H180" s="395"/>
      <c r="I180" s="395"/>
      <c r="J180" s="395"/>
      <c r="K180" s="395"/>
    </row>
    <row r="181" spans="1:11" ht="16.5">
      <c r="A181" s="383"/>
      <c r="B181" s="393"/>
      <c r="C181" s="394"/>
      <c r="D181" s="383"/>
      <c r="E181" s="395"/>
      <c r="F181" s="395"/>
      <c r="G181" s="395"/>
      <c r="H181" s="395"/>
      <c r="I181" s="395"/>
      <c r="J181" s="395"/>
      <c r="K181" s="395"/>
    </row>
    <row r="182" spans="1:11" ht="16.5">
      <c r="A182" s="383"/>
      <c r="B182" s="393"/>
      <c r="C182" s="394"/>
      <c r="D182" s="383"/>
      <c r="E182" s="395"/>
      <c r="F182" s="395"/>
      <c r="G182" s="395"/>
      <c r="H182" s="395"/>
      <c r="I182" s="395"/>
      <c r="J182" s="395"/>
      <c r="K182" s="395"/>
    </row>
    <row r="183" spans="1:11" ht="16.5">
      <c r="A183" s="383"/>
      <c r="B183" s="393"/>
      <c r="C183" s="394"/>
      <c r="D183" s="383"/>
      <c r="E183" s="395"/>
      <c r="F183" s="395"/>
      <c r="G183" s="395"/>
      <c r="H183" s="395"/>
      <c r="I183" s="395"/>
      <c r="J183" s="395"/>
      <c r="K183" s="395"/>
    </row>
    <row r="184" spans="1:11" ht="16.5">
      <c r="A184" s="383"/>
      <c r="B184" s="393"/>
      <c r="C184" s="394"/>
      <c r="D184" s="383"/>
      <c r="E184" s="395"/>
      <c r="F184" s="395"/>
      <c r="G184" s="395"/>
      <c r="H184" s="395"/>
      <c r="I184" s="395"/>
      <c r="J184" s="395"/>
      <c r="K184" s="395"/>
    </row>
    <row r="185" spans="1:11" ht="16.5">
      <c r="A185" s="383"/>
      <c r="B185" s="393"/>
      <c r="C185" s="394"/>
      <c r="D185" s="383"/>
      <c r="E185" s="395"/>
      <c r="F185" s="395"/>
      <c r="G185" s="395"/>
      <c r="H185" s="395"/>
      <c r="I185" s="395"/>
      <c r="J185" s="395"/>
      <c r="K185" s="395"/>
    </row>
    <row r="186" spans="1:11" ht="16.5">
      <c r="A186" s="383"/>
      <c r="B186" s="393"/>
      <c r="C186" s="394"/>
      <c r="D186" s="383"/>
      <c r="E186" s="395"/>
      <c r="F186" s="395"/>
      <c r="G186" s="395"/>
      <c r="H186" s="395"/>
      <c r="I186" s="395"/>
      <c r="J186" s="395"/>
      <c r="K186" s="395"/>
    </row>
    <row r="187" spans="1:11" ht="16.5">
      <c r="A187" s="383"/>
      <c r="B187" s="393"/>
      <c r="C187" s="394"/>
      <c r="D187" s="383"/>
      <c r="E187" s="395"/>
      <c r="F187" s="395"/>
      <c r="G187" s="395"/>
      <c r="H187" s="395"/>
      <c r="I187" s="395"/>
      <c r="J187" s="395"/>
      <c r="K187" s="395"/>
    </row>
    <row r="188" spans="1:11" ht="16.5">
      <c r="A188" s="383"/>
      <c r="B188" s="393"/>
      <c r="C188" s="394"/>
      <c r="D188" s="383"/>
      <c r="E188" s="395"/>
      <c r="F188" s="395"/>
      <c r="G188" s="395"/>
      <c r="H188" s="395"/>
      <c r="I188" s="395"/>
      <c r="J188" s="395"/>
      <c r="K188" s="395"/>
    </row>
    <row r="189" spans="1:11" ht="16.5">
      <c r="A189" s="383"/>
      <c r="B189" s="393"/>
      <c r="C189" s="394"/>
      <c r="D189" s="383"/>
      <c r="E189" s="395"/>
      <c r="F189" s="395"/>
      <c r="G189" s="395"/>
      <c r="H189" s="395"/>
      <c r="I189" s="395"/>
      <c r="J189" s="395"/>
      <c r="K189" s="395"/>
    </row>
    <row r="190" spans="1:11" ht="16.5">
      <c r="A190" s="383"/>
      <c r="B190" s="393"/>
      <c r="C190" s="394"/>
      <c r="D190" s="383"/>
      <c r="E190" s="395"/>
      <c r="F190" s="395"/>
      <c r="G190" s="395"/>
      <c r="H190" s="395"/>
      <c r="I190" s="395"/>
      <c r="J190" s="395"/>
      <c r="K190" s="395"/>
    </row>
    <row r="191" spans="1:11" ht="16.5">
      <c r="A191" s="383"/>
      <c r="B191" s="393"/>
      <c r="C191" s="394"/>
      <c r="D191" s="383"/>
      <c r="E191" s="395"/>
      <c r="F191" s="395"/>
      <c r="G191" s="395"/>
      <c r="H191" s="395"/>
      <c r="I191" s="395"/>
      <c r="J191" s="395"/>
      <c r="K191" s="395"/>
    </row>
    <row r="192" spans="1:11" ht="16.5">
      <c r="A192" s="383"/>
      <c r="B192" s="393"/>
      <c r="C192" s="394"/>
      <c r="D192" s="383"/>
      <c r="E192" s="395"/>
      <c r="F192" s="395"/>
      <c r="G192" s="395"/>
      <c r="H192" s="395"/>
      <c r="I192" s="395"/>
      <c r="J192" s="395"/>
      <c r="K192" s="395"/>
    </row>
    <row r="193" spans="1:11" ht="16.5">
      <c r="A193" s="383"/>
      <c r="B193" s="393"/>
      <c r="C193" s="394"/>
      <c r="D193" s="383"/>
      <c r="E193" s="395"/>
      <c r="F193" s="395"/>
      <c r="G193" s="395"/>
      <c r="H193" s="395"/>
      <c r="I193" s="395"/>
      <c r="J193" s="395"/>
      <c r="K193" s="395"/>
    </row>
    <row r="194" spans="1:11" ht="16.5">
      <c r="A194" s="383"/>
      <c r="B194" s="393"/>
      <c r="C194" s="394"/>
      <c r="D194" s="383"/>
      <c r="E194" s="395"/>
      <c r="F194" s="395"/>
      <c r="G194" s="395"/>
      <c r="H194" s="395"/>
      <c r="I194" s="395"/>
      <c r="J194" s="395"/>
      <c r="K194" s="395"/>
    </row>
    <row r="195" spans="1:11" ht="16.5">
      <c r="A195" s="383"/>
      <c r="B195" s="393"/>
      <c r="C195" s="394"/>
      <c r="D195" s="383"/>
      <c r="E195" s="395"/>
      <c r="F195" s="395"/>
      <c r="G195" s="395"/>
      <c r="H195" s="395"/>
      <c r="I195" s="395"/>
      <c r="J195" s="395"/>
      <c r="K195" s="395"/>
    </row>
    <row r="196" spans="1:11" ht="16.5">
      <c r="A196" s="383"/>
      <c r="B196" s="393"/>
      <c r="C196" s="394"/>
      <c r="D196" s="383"/>
      <c r="E196" s="395"/>
      <c r="F196" s="395"/>
      <c r="G196" s="395"/>
      <c r="H196" s="395"/>
      <c r="I196" s="395"/>
      <c r="J196" s="395"/>
      <c r="K196" s="395"/>
    </row>
    <row r="197" spans="1:11" ht="16.5">
      <c r="A197" s="383"/>
      <c r="B197" s="393"/>
      <c r="C197" s="394"/>
      <c r="D197" s="383"/>
      <c r="E197" s="395"/>
      <c r="F197" s="395"/>
      <c r="G197" s="395"/>
      <c r="H197" s="395"/>
      <c r="I197" s="395"/>
      <c r="J197" s="395"/>
      <c r="K197" s="395"/>
    </row>
    <row r="198" spans="1:11" ht="16.5">
      <c r="A198" s="383"/>
      <c r="B198" s="393"/>
      <c r="C198" s="394"/>
      <c r="D198" s="383"/>
      <c r="E198" s="395"/>
      <c r="F198" s="395"/>
      <c r="G198" s="395"/>
      <c r="H198" s="395"/>
      <c r="I198" s="395"/>
      <c r="J198" s="395"/>
      <c r="K198" s="395"/>
    </row>
    <row r="199" spans="1:11" ht="16.5">
      <c r="A199" s="383"/>
      <c r="B199" s="393"/>
      <c r="C199" s="394"/>
      <c r="D199" s="383"/>
      <c r="E199" s="395"/>
      <c r="F199" s="395"/>
      <c r="G199" s="395"/>
      <c r="H199" s="395"/>
      <c r="I199" s="395"/>
      <c r="J199" s="395"/>
      <c r="K199" s="395"/>
    </row>
    <row r="200" spans="1:11" ht="16.5">
      <c r="A200" s="383"/>
      <c r="B200" s="393"/>
      <c r="C200" s="394"/>
      <c r="D200" s="383"/>
      <c r="E200" s="395"/>
      <c r="F200" s="395"/>
      <c r="G200" s="395"/>
      <c r="H200" s="395"/>
      <c r="I200" s="395"/>
      <c r="J200" s="395"/>
      <c r="K200" s="395"/>
    </row>
    <row r="201" spans="1:11" ht="16.5">
      <c r="A201" s="383"/>
      <c r="B201" s="393"/>
      <c r="C201" s="394"/>
      <c r="D201" s="383"/>
      <c r="E201" s="395"/>
      <c r="F201" s="395"/>
      <c r="G201" s="395"/>
      <c r="H201" s="395"/>
      <c r="I201" s="395"/>
      <c r="J201" s="395"/>
      <c r="K201" s="395"/>
    </row>
    <row r="202" spans="1:11" ht="16.5">
      <c r="A202" s="383"/>
      <c r="B202" s="393"/>
      <c r="C202" s="394"/>
      <c r="D202" s="383"/>
      <c r="E202" s="395"/>
      <c r="F202" s="395"/>
      <c r="G202" s="395"/>
      <c r="H202" s="395"/>
      <c r="I202" s="395"/>
      <c r="J202" s="395"/>
      <c r="K202" s="395"/>
    </row>
    <row r="203" spans="1:11" ht="16.5">
      <c r="A203" s="383"/>
      <c r="B203" s="393"/>
      <c r="C203" s="394"/>
      <c r="D203" s="383"/>
      <c r="E203" s="395"/>
      <c r="F203" s="395"/>
      <c r="G203" s="395"/>
      <c r="H203" s="395"/>
      <c r="I203" s="395"/>
      <c r="J203" s="395"/>
      <c r="K203" s="395"/>
    </row>
    <row r="204" spans="1:11" ht="16.5">
      <c r="A204" s="383"/>
      <c r="B204" s="393"/>
      <c r="C204" s="394"/>
      <c r="D204" s="383"/>
      <c r="E204" s="395"/>
      <c r="F204" s="395"/>
      <c r="G204" s="395"/>
      <c r="H204" s="395"/>
      <c r="I204" s="395"/>
      <c r="J204" s="395"/>
      <c r="K204" s="395"/>
    </row>
    <row r="205" spans="1:11" ht="16.5">
      <c r="A205" s="383"/>
      <c r="B205" s="393"/>
      <c r="C205" s="394"/>
      <c r="D205" s="383"/>
      <c r="E205" s="395"/>
      <c r="F205" s="395"/>
      <c r="G205" s="395"/>
      <c r="H205" s="395"/>
      <c r="I205" s="395"/>
      <c r="J205" s="395"/>
      <c r="K205" s="395"/>
    </row>
    <row r="206" spans="1:11" ht="16.5">
      <c r="A206" s="383"/>
      <c r="B206" s="393"/>
      <c r="C206" s="394"/>
      <c r="D206" s="383"/>
      <c r="E206" s="395"/>
      <c r="F206" s="395"/>
      <c r="G206" s="395"/>
      <c r="H206" s="395"/>
      <c r="I206" s="395"/>
      <c r="J206" s="395"/>
      <c r="K206" s="395"/>
    </row>
    <row r="207" spans="1:11" ht="16.5">
      <c r="A207" s="383"/>
      <c r="B207" s="393"/>
      <c r="C207" s="394"/>
      <c r="D207" s="383"/>
      <c r="E207" s="395"/>
      <c r="F207" s="395"/>
      <c r="G207" s="395"/>
      <c r="H207" s="395"/>
      <c r="I207" s="395"/>
      <c r="J207" s="395"/>
      <c r="K207" s="395"/>
    </row>
    <row r="208" spans="1:11" ht="16.5">
      <c r="A208" s="383"/>
      <c r="B208" s="393"/>
      <c r="C208" s="394"/>
      <c r="D208" s="383"/>
      <c r="E208" s="395"/>
      <c r="F208" s="395"/>
      <c r="G208" s="395"/>
      <c r="H208" s="395"/>
      <c r="I208" s="395"/>
      <c r="J208" s="395"/>
      <c r="K208" s="395"/>
    </row>
    <row r="209" spans="1:11" ht="16.5">
      <c r="A209" s="383"/>
      <c r="B209" s="393"/>
      <c r="C209" s="394"/>
      <c r="D209" s="383"/>
      <c r="E209" s="395"/>
      <c r="F209" s="395"/>
      <c r="G209" s="395"/>
      <c r="H209" s="395"/>
      <c r="I209" s="395"/>
      <c r="J209" s="395"/>
      <c r="K209" s="395"/>
    </row>
    <row r="210" spans="1:11" ht="16.5">
      <c r="A210" s="383"/>
      <c r="B210" s="393"/>
      <c r="C210" s="394"/>
      <c r="D210" s="383"/>
      <c r="E210" s="395"/>
      <c r="F210" s="395"/>
      <c r="G210" s="395"/>
      <c r="H210" s="395"/>
      <c r="I210" s="395"/>
      <c r="J210" s="395"/>
      <c r="K210" s="395"/>
    </row>
    <row r="211" spans="1:11" ht="16.5">
      <c r="A211" s="383"/>
      <c r="B211" s="393"/>
      <c r="C211" s="394"/>
      <c r="D211" s="383"/>
      <c r="E211" s="395"/>
      <c r="F211" s="395"/>
      <c r="G211" s="395"/>
      <c r="H211" s="395"/>
      <c r="I211" s="395"/>
      <c r="J211" s="395"/>
      <c r="K211" s="395"/>
    </row>
    <row r="212" spans="1:11" ht="16.5">
      <c r="A212" s="383"/>
      <c r="B212" s="393"/>
      <c r="C212" s="394"/>
      <c r="D212" s="383"/>
      <c r="E212" s="395"/>
      <c r="F212" s="395"/>
      <c r="G212" s="395"/>
      <c r="H212" s="395"/>
      <c r="I212" s="395"/>
      <c r="J212" s="395"/>
      <c r="K212" s="395"/>
    </row>
    <row r="213" spans="1:11" ht="16.5">
      <c r="A213" s="383"/>
      <c r="B213" s="393"/>
      <c r="C213" s="394"/>
      <c r="D213" s="383"/>
      <c r="E213" s="395"/>
      <c r="F213" s="395"/>
      <c r="G213" s="395"/>
      <c r="H213" s="395"/>
      <c r="I213" s="395"/>
      <c r="J213" s="395"/>
      <c r="K213" s="395"/>
    </row>
    <row r="214" spans="1:11" ht="16.5">
      <c r="A214" s="383"/>
      <c r="B214" s="393"/>
      <c r="C214" s="394"/>
      <c r="D214" s="383"/>
      <c r="E214" s="395"/>
      <c r="F214" s="395"/>
      <c r="G214" s="395"/>
      <c r="H214" s="395"/>
      <c r="I214" s="395"/>
      <c r="J214" s="395"/>
      <c r="K214" s="395"/>
    </row>
    <row r="215" spans="1:11" ht="16.5">
      <c r="A215" s="383"/>
      <c r="B215" s="393"/>
      <c r="C215" s="394"/>
      <c r="D215" s="383"/>
      <c r="E215" s="395"/>
      <c r="F215" s="395"/>
      <c r="G215" s="395"/>
      <c r="H215" s="395"/>
      <c r="I215" s="395"/>
      <c r="J215" s="395"/>
      <c r="K215" s="395"/>
    </row>
    <row r="216" spans="1:11" ht="16.5">
      <c r="A216" s="383"/>
      <c r="B216" s="393"/>
      <c r="C216" s="394"/>
      <c r="D216" s="383"/>
      <c r="E216" s="395"/>
      <c r="F216" s="395"/>
      <c r="G216" s="395"/>
      <c r="H216" s="395"/>
      <c r="I216" s="395"/>
      <c r="J216" s="395"/>
      <c r="K216" s="395"/>
    </row>
    <row r="217" spans="1:11" ht="16.5">
      <c r="A217" s="383"/>
      <c r="B217" s="393"/>
      <c r="C217" s="394"/>
      <c r="D217" s="383"/>
      <c r="E217" s="395"/>
      <c r="F217" s="395"/>
      <c r="G217" s="395"/>
      <c r="H217" s="395"/>
      <c r="I217" s="395"/>
      <c r="J217" s="395"/>
      <c r="K217" s="395"/>
    </row>
    <row r="218" spans="1:11" ht="16.5">
      <c r="A218" s="383"/>
      <c r="B218" s="393"/>
      <c r="C218" s="394"/>
      <c r="D218" s="383"/>
      <c r="E218" s="395"/>
      <c r="F218" s="395"/>
      <c r="G218" s="395"/>
      <c r="H218" s="395"/>
      <c r="I218" s="395"/>
      <c r="J218" s="395"/>
      <c r="K218" s="395"/>
    </row>
    <row r="219" spans="1:11" ht="16.5">
      <c r="A219" s="383"/>
      <c r="B219" s="393"/>
      <c r="C219" s="394"/>
      <c r="D219" s="383"/>
      <c r="E219" s="395"/>
      <c r="F219" s="395"/>
      <c r="G219" s="395"/>
      <c r="H219" s="395"/>
      <c r="I219" s="395"/>
      <c r="J219" s="395"/>
      <c r="K219" s="395"/>
    </row>
    <row r="220" spans="1:11" ht="16.5">
      <c r="A220" s="383"/>
      <c r="B220" s="393"/>
      <c r="C220" s="394"/>
      <c r="D220" s="383"/>
      <c r="E220" s="395"/>
      <c r="F220" s="395"/>
      <c r="G220" s="395"/>
      <c r="H220" s="395"/>
      <c r="I220" s="395"/>
      <c r="J220" s="395"/>
      <c r="K220" s="395"/>
    </row>
    <row r="221" spans="1:11" ht="16.5">
      <c r="A221" s="383"/>
      <c r="B221" s="393"/>
      <c r="C221" s="394"/>
      <c r="D221" s="383"/>
      <c r="E221" s="395"/>
      <c r="F221" s="395"/>
      <c r="G221" s="395"/>
      <c r="H221" s="395"/>
      <c r="I221" s="395"/>
      <c r="J221" s="395"/>
      <c r="K221" s="395"/>
    </row>
    <row r="222" spans="1:11" ht="16.5">
      <c r="A222" s="383"/>
      <c r="B222" s="393"/>
      <c r="C222" s="394"/>
      <c r="D222" s="383"/>
      <c r="E222" s="395"/>
      <c r="F222" s="395"/>
      <c r="G222" s="395"/>
      <c r="H222" s="395"/>
      <c r="I222" s="395"/>
      <c r="J222" s="395"/>
      <c r="K222" s="395"/>
    </row>
    <row r="223" spans="1:11" ht="16.5">
      <c r="A223" s="383"/>
      <c r="B223" s="393"/>
      <c r="C223" s="394"/>
      <c r="D223" s="383"/>
      <c r="E223" s="395"/>
      <c r="F223" s="395"/>
      <c r="G223" s="395"/>
      <c r="H223" s="395"/>
      <c r="I223" s="395"/>
      <c r="J223" s="395"/>
      <c r="K223" s="395"/>
    </row>
    <row r="224" spans="1:11" ht="16.5">
      <c r="A224" s="383"/>
      <c r="B224" s="393"/>
      <c r="C224" s="394"/>
      <c r="D224" s="383"/>
      <c r="E224" s="395"/>
      <c r="F224" s="395"/>
      <c r="G224" s="395"/>
      <c r="H224" s="395"/>
      <c r="I224" s="395"/>
      <c r="J224" s="395"/>
      <c r="K224" s="395"/>
    </row>
    <row r="225" spans="1:11" ht="16.5">
      <c r="A225" s="383"/>
      <c r="B225" s="393"/>
      <c r="C225" s="394"/>
      <c r="D225" s="383"/>
      <c r="E225" s="395"/>
      <c r="F225" s="395"/>
      <c r="G225" s="395"/>
      <c r="H225" s="395"/>
      <c r="I225" s="395"/>
      <c r="J225" s="395"/>
      <c r="K225" s="395"/>
    </row>
    <row r="226" spans="1:11" ht="16.5">
      <c r="A226" s="383"/>
      <c r="B226" s="393"/>
      <c r="C226" s="394"/>
      <c r="D226" s="383"/>
      <c r="E226" s="395"/>
      <c r="F226" s="395"/>
      <c r="G226" s="395"/>
      <c r="H226" s="395"/>
      <c r="I226" s="395"/>
      <c r="J226" s="395"/>
      <c r="K226" s="395"/>
    </row>
    <row r="227" spans="1:11" ht="16.5">
      <c r="A227" s="383"/>
      <c r="B227" s="393"/>
      <c r="C227" s="394"/>
      <c r="D227" s="383"/>
      <c r="E227" s="395"/>
      <c r="F227" s="395"/>
      <c r="G227" s="395"/>
      <c r="H227" s="395"/>
      <c r="I227" s="395"/>
      <c r="J227" s="395"/>
      <c r="K227" s="395"/>
    </row>
    <row r="228" spans="1:11" ht="16.5">
      <c r="A228" s="383"/>
      <c r="B228" s="393"/>
      <c r="C228" s="394"/>
      <c r="D228" s="383"/>
      <c r="E228" s="395"/>
      <c r="F228" s="395"/>
      <c r="G228" s="395"/>
      <c r="H228" s="395"/>
      <c r="I228" s="395"/>
      <c r="J228" s="395"/>
      <c r="K228" s="395"/>
    </row>
    <row r="229" spans="1:11" ht="16.5">
      <c r="A229" s="383"/>
      <c r="B229" s="393"/>
      <c r="C229" s="394"/>
      <c r="D229" s="383"/>
      <c r="E229" s="395"/>
      <c r="F229" s="395"/>
      <c r="G229" s="395"/>
      <c r="H229" s="395"/>
      <c r="I229" s="395"/>
      <c r="J229" s="395"/>
      <c r="K229" s="395"/>
    </row>
    <row r="230" spans="1:11" ht="16.5">
      <c r="A230" s="383"/>
      <c r="B230" s="393"/>
      <c r="C230" s="394"/>
      <c r="D230" s="383"/>
      <c r="E230" s="395"/>
      <c r="F230" s="395"/>
      <c r="G230" s="395"/>
      <c r="H230" s="395"/>
      <c r="I230" s="395"/>
      <c r="J230" s="395"/>
      <c r="K230" s="395"/>
    </row>
    <row r="231" spans="1:11" ht="16.5">
      <c r="A231" s="383"/>
      <c r="B231" s="393"/>
      <c r="C231" s="394"/>
      <c r="D231" s="383"/>
      <c r="E231" s="395"/>
      <c r="F231" s="395"/>
      <c r="G231" s="395"/>
      <c r="H231" s="395"/>
      <c r="I231" s="395"/>
      <c r="J231" s="395"/>
      <c r="K231" s="395"/>
    </row>
    <row r="232" spans="1:11" ht="16.5">
      <c r="A232" s="383"/>
      <c r="B232" s="393"/>
      <c r="C232" s="394"/>
      <c r="D232" s="383"/>
      <c r="E232" s="395"/>
      <c r="F232" s="395"/>
      <c r="G232" s="395"/>
      <c r="H232" s="395"/>
      <c r="I232" s="395"/>
      <c r="J232" s="395"/>
      <c r="K232" s="395"/>
    </row>
    <row r="233" spans="1:11" ht="16.5">
      <c r="A233" s="383"/>
      <c r="B233" s="393"/>
      <c r="C233" s="394"/>
      <c r="D233" s="383"/>
      <c r="E233" s="395"/>
      <c r="F233" s="395"/>
      <c r="G233" s="395"/>
      <c r="H233" s="395"/>
      <c r="I233" s="395"/>
      <c r="J233" s="395"/>
      <c r="K233" s="395"/>
    </row>
    <row r="234" spans="1:11" ht="16.5">
      <c r="A234" s="383"/>
      <c r="B234" s="393"/>
      <c r="C234" s="394"/>
      <c r="D234" s="383"/>
      <c r="E234" s="395"/>
      <c r="F234" s="395"/>
      <c r="G234" s="395"/>
      <c r="H234" s="395"/>
      <c r="I234" s="395"/>
      <c r="J234" s="395"/>
      <c r="K234" s="395"/>
    </row>
    <row r="235" spans="1:11" ht="16.5">
      <c r="A235" s="383"/>
      <c r="B235" s="393"/>
      <c r="C235" s="394"/>
      <c r="D235" s="383"/>
      <c r="E235" s="395"/>
      <c r="F235" s="395"/>
      <c r="G235" s="395"/>
      <c r="H235" s="395"/>
      <c r="I235" s="395"/>
      <c r="J235" s="395"/>
      <c r="K235" s="395"/>
    </row>
    <row r="236" spans="1:11" ht="16.5">
      <c r="A236" s="383"/>
      <c r="B236" s="393"/>
      <c r="C236" s="394"/>
      <c r="D236" s="383"/>
      <c r="E236" s="395"/>
      <c r="F236" s="395"/>
      <c r="G236" s="395"/>
      <c r="H236" s="395"/>
      <c r="I236" s="395"/>
      <c r="J236" s="395"/>
      <c r="K236" s="395"/>
    </row>
    <row r="237" spans="1:11" ht="16.5">
      <c r="A237" s="383"/>
      <c r="B237" s="393"/>
      <c r="C237" s="394"/>
      <c r="D237" s="383"/>
      <c r="E237" s="395"/>
      <c r="F237" s="395"/>
      <c r="G237" s="395"/>
      <c r="H237" s="395"/>
      <c r="I237" s="395"/>
      <c r="J237" s="395"/>
      <c r="K237" s="395"/>
    </row>
    <row r="238" spans="1:11" ht="16.5">
      <c r="A238" s="383"/>
      <c r="B238" s="393"/>
      <c r="C238" s="394"/>
      <c r="D238" s="383"/>
      <c r="E238" s="395"/>
      <c r="F238" s="395"/>
      <c r="G238" s="395"/>
      <c r="H238" s="395"/>
      <c r="I238" s="395"/>
      <c r="J238" s="395"/>
      <c r="K238" s="395"/>
    </row>
    <row r="239" spans="1:11" ht="16.5">
      <c r="A239" s="383"/>
      <c r="B239" s="393"/>
      <c r="C239" s="394"/>
      <c r="D239" s="383"/>
      <c r="E239" s="395"/>
      <c r="F239" s="395"/>
      <c r="G239" s="395"/>
      <c r="H239" s="395"/>
      <c r="I239" s="395"/>
      <c r="J239" s="395"/>
      <c r="K239" s="395"/>
    </row>
    <row r="240" spans="1:11" ht="16.5">
      <c r="A240" s="383"/>
      <c r="B240" s="393"/>
      <c r="C240" s="394"/>
      <c r="D240" s="383"/>
      <c r="E240" s="395"/>
      <c r="F240" s="395"/>
      <c r="G240" s="395"/>
      <c r="H240" s="395"/>
      <c r="I240" s="395"/>
      <c r="J240" s="395"/>
      <c r="K240" s="395"/>
    </row>
    <row r="241" spans="1:11" ht="16.5">
      <c r="A241" s="383"/>
      <c r="B241" s="393"/>
      <c r="C241" s="394"/>
      <c r="D241" s="383"/>
      <c r="E241" s="395"/>
      <c r="F241" s="395"/>
      <c r="G241" s="395"/>
      <c r="H241" s="395"/>
      <c r="I241" s="395"/>
      <c r="J241" s="395"/>
      <c r="K241" s="395"/>
    </row>
    <row r="242" spans="1:11" ht="16.5">
      <c r="A242" s="383"/>
      <c r="B242" s="393"/>
      <c r="C242" s="394"/>
      <c r="D242" s="383"/>
      <c r="E242" s="395"/>
      <c r="F242" s="395"/>
      <c r="G242" s="395"/>
      <c r="H242" s="395"/>
      <c r="I242" s="395"/>
      <c r="J242" s="395"/>
      <c r="K242" s="395"/>
    </row>
    <row r="243" spans="1:11" ht="16.5">
      <c r="A243" s="383"/>
      <c r="B243" s="393"/>
      <c r="C243" s="394"/>
      <c r="D243" s="383"/>
      <c r="E243" s="395"/>
      <c r="F243" s="395"/>
      <c r="G243" s="395"/>
      <c r="H243" s="395"/>
      <c r="I243" s="395"/>
      <c r="J243" s="395"/>
      <c r="K243" s="395"/>
    </row>
    <row r="244" spans="1:11" ht="16.5">
      <c r="A244" s="383"/>
      <c r="B244" s="393"/>
      <c r="C244" s="394"/>
      <c r="D244" s="383"/>
      <c r="E244" s="395"/>
      <c r="F244" s="395"/>
      <c r="G244" s="395"/>
      <c r="H244" s="395"/>
      <c r="I244" s="395"/>
      <c r="J244" s="395"/>
      <c r="K244" s="395"/>
    </row>
    <row r="245" spans="1:11" ht="16.5">
      <c r="A245" s="383"/>
      <c r="B245" s="393"/>
      <c r="C245" s="394"/>
      <c r="D245" s="383"/>
      <c r="E245" s="395"/>
      <c r="F245" s="395"/>
      <c r="G245" s="395"/>
      <c r="H245" s="395"/>
      <c r="I245" s="395"/>
      <c r="J245" s="395"/>
      <c r="K245" s="395"/>
    </row>
    <row r="246" spans="1:11" ht="16.5">
      <c r="A246" s="383"/>
      <c r="B246" s="393"/>
      <c r="C246" s="394"/>
      <c r="D246" s="383"/>
      <c r="E246" s="395"/>
      <c r="F246" s="395"/>
      <c r="G246" s="395"/>
      <c r="H246" s="395"/>
      <c r="I246" s="395"/>
      <c r="J246" s="395"/>
      <c r="K246" s="395"/>
    </row>
    <row r="247" spans="1:11" ht="16.5">
      <c r="A247" s="383"/>
      <c r="B247" s="393"/>
      <c r="C247" s="394"/>
      <c r="D247" s="383"/>
      <c r="E247" s="395"/>
      <c r="F247" s="395"/>
      <c r="G247" s="395"/>
      <c r="H247" s="395"/>
      <c r="I247" s="395"/>
      <c r="J247" s="395"/>
      <c r="K247" s="395"/>
    </row>
    <row r="248" spans="1:11" ht="16.5">
      <c r="A248" s="383"/>
      <c r="B248" s="393"/>
      <c r="C248" s="394"/>
      <c r="D248" s="383"/>
      <c r="E248" s="395"/>
      <c r="F248" s="395"/>
      <c r="G248" s="395"/>
      <c r="H248" s="395"/>
      <c r="I248" s="395"/>
      <c r="J248" s="395"/>
      <c r="K248" s="395"/>
    </row>
    <row r="249" spans="1:11" ht="16.5">
      <c r="A249" s="383"/>
      <c r="B249" s="393"/>
      <c r="C249" s="394"/>
      <c r="D249" s="383"/>
      <c r="E249" s="395"/>
      <c r="F249" s="395"/>
      <c r="G249" s="395"/>
      <c r="H249" s="395"/>
      <c r="I249" s="395"/>
      <c r="J249" s="395"/>
      <c r="K249" s="395"/>
    </row>
  </sheetData>
  <sheetProtection/>
  <mergeCells count="4">
    <mergeCell ref="B15:D15"/>
    <mergeCell ref="A3:K3"/>
    <mergeCell ref="J1:K1"/>
    <mergeCell ref="B2:K2"/>
  </mergeCells>
  <printOptions horizontalCentered="1"/>
  <pageMargins left="0.708661417322835" right="0.47244094488189" top="0.83" bottom="0.78740157480315" header="0.433070866141732" footer="0.590551181102362"/>
  <pageSetup fitToHeight="0" fitToWidth="1" horizontalDpi="600" verticalDpi="600" orientation="landscape" paperSize="9" scale="84" r:id="rId1"/>
  <headerFooter alignWithMargins="0">
    <oddFooter>&amp;R&amp;"Times New Roman,Regular"&amp;12&amp;P/&amp;N</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W248"/>
  <sheetViews>
    <sheetView view="pageBreakPreview" zoomScale="60" zoomScaleNormal="70" zoomScalePageLayoutView="0" workbookViewId="0" topLeftCell="A1">
      <selection activeCell="H5" sqref="H5"/>
    </sheetView>
  </sheetViews>
  <sheetFormatPr defaultColWidth="9.140625" defaultRowHeight="12.75"/>
  <cols>
    <col min="1" max="1" width="5.57421875" style="369" customWidth="1"/>
    <col min="2" max="2" width="37.421875" style="365" customWidth="1"/>
    <col min="3" max="3" width="15.421875" style="366" customWidth="1"/>
    <col min="4" max="4" width="14.8515625" style="366" customWidth="1"/>
    <col min="5" max="7" width="12.140625" style="364" customWidth="1"/>
    <col min="8" max="8" width="14.140625" style="364" customWidth="1"/>
    <col min="9" max="9" width="15.00390625" style="364" customWidth="1"/>
    <col min="10" max="10" width="17.421875" style="364" customWidth="1"/>
    <col min="11" max="11" width="21.00390625" style="364" customWidth="1"/>
    <col min="12" max="12" width="5.8515625" style="364" customWidth="1"/>
    <col min="13" max="16384" width="9.140625" style="364" customWidth="1"/>
  </cols>
  <sheetData>
    <row r="1" spans="1:11" ht="36.75" customHeight="1">
      <c r="A1" s="364"/>
      <c r="B1" s="365" t="s">
        <v>373</v>
      </c>
      <c r="I1" s="378" t="s">
        <v>357</v>
      </c>
      <c r="J1" s="1340" t="s">
        <v>358</v>
      </c>
      <c r="K1" s="1340"/>
    </row>
    <row r="2" spans="1:11" ht="36.75" customHeight="1">
      <c r="A2" s="364"/>
      <c r="B2" s="1322" t="s">
        <v>463</v>
      </c>
      <c r="C2" s="1322"/>
      <c r="D2" s="1322"/>
      <c r="E2" s="1322"/>
      <c r="F2" s="1322"/>
      <c r="G2" s="1322"/>
      <c r="H2" s="1322"/>
      <c r="I2" s="1322"/>
      <c r="J2" s="1322"/>
      <c r="K2" s="1322"/>
    </row>
    <row r="3" spans="1:11" ht="38.25" customHeight="1">
      <c r="A3" s="1319" t="s">
        <v>402</v>
      </c>
      <c r="B3" s="1319"/>
      <c r="C3" s="1319"/>
      <c r="D3" s="1319"/>
      <c r="E3" s="1319"/>
      <c r="F3" s="1319"/>
      <c r="G3" s="1319"/>
      <c r="H3" s="1319"/>
      <c r="I3" s="1319"/>
      <c r="J3" s="1319"/>
      <c r="K3" s="1319"/>
    </row>
    <row r="4" spans="1:11" ht="16.5">
      <c r="A4" s="383"/>
      <c r="B4" s="393"/>
      <c r="C4" s="394"/>
      <c r="D4" s="394"/>
      <c r="E4" s="395"/>
      <c r="F4" s="395"/>
      <c r="G4" s="395"/>
      <c r="H4" s="395"/>
      <c r="I4" s="395"/>
      <c r="J4" s="395"/>
      <c r="K4" s="395"/>
    </row>
    <row r="5" spans="1:11" s="367" customFormat="1" ht="83.25" customHeight="1">
      <c r="A5" s="404" t="s">
        <v>0</v>
      </c>
      <c r="B5" s="404" t="s">
        <v>287</v>
      </c>
      <c r="C5" s="404" t="s">
        <v>184</v>
      </c>
      <c r="D5" s="384" t="s">
        <v>297</v>
      </c>
      <c r="E5" s="384" t="s">
        <v>298</v>
      </c>
      <c r="F5" s="384" t="s">
        <v>299</v>
      </c>
      <c r="G5" s="384" t="s">
        <v>300</v>
      </c>
      <c r="H5" s="384" t="s">
        <v>799</v>
      </c>
      <c r="I5" s="384" t="s">
        <v>301</v>
      </c>
      <c r="J5" s="384" t="s">
        <v>302</v>
      </c>
      <c r="K5" s="384" t="s">
        <v>409</v>
      </c>
    </row>
    <row r="6" spans="1:23" ht="52.5" customHeight="1">
      <c r="A6" s="389">
        <v>1</v>
      </c>
      <c r="B6" s="390" t="s">
        <v>351</v>
      </c>
      <c r="C6" s="406" t="s">
        <v>356</v>
      </c>
      <c r="D6" s="524">
        <v>1.9</v>
      </c>
      <c r="E6" s="525">
        <v>0.757</v>
      </c>
      <c r="F6" s="525">
        <v>0.821</v>
      </c>
      <c r="G6" s="525">
        <v>0.91</v>
      </c>
      <c r="H6" s="525">
        <v>0.96</v>
      </c>
      <c r="I6" s="525">
        <v>1.07</v>
      </c>
      <c r="J6" s="526">
        <v>1.07</v>
      </c>
      <c r="K6" s="389" t="s">
        <v>42</v>
      </c>
      <c r="L6" s="371"/>
      <c r="N6" s="370"/>
      <c r="O6" s="371"/>
      <c r="Q6" s="370"/>
      <c r="R6" s="371"/>
      <c r="T6" s="370"/>
      <c r="U6" s="371"/>
      <c r="W6" s="370"/>
    </row>
    <row r="7" spans="1:23" ht="52.5" customHeight="1">
      <c r="A7" s="389">
        <v>2</v>
      </c>
      <c r="B7" s="390" t="s">
        <v>352</v>
      </c>
      <c r="C7" s="406" t="s">
        <v>356</v>
      </c>
      <c r="D7" s="524">
        <v>1.206</v>
      </c>
      <c r="E7" s="525">
        <v>0.111</v>
      </c>
      <c r="F7" s="527">
        <v>0.085</v>
      </c>
      <c r="G7" s="527">
        <v>0.122</v>
      </c>
      <c r="H7" s="527">
        <v>0.1</v>
      </c>
      <c r="I7" s="527">
        <v>0.11</v>
      </c>
      <c r="J7" s="527">
        <v>0.528</v>
      </c>
      <c r="K7" s="389" t="str">
        <f>K6</f>
        <v>Không đạt</v>
      </c>
      <c r="L7" s="371"/>
      <c r="N7" s="370"/>
      <c r="O7" s="371"/>
      <c r="Q7" s="370"/>
      <c r="R7" s="371"/>
      <c r="T7" s="370"/>
      <c r="U7" s="371"/>
      <c r="W7" s="370"/>
    </row>
    <row r="8" spans="1:23" ht="52.5" customHeight="1">
      <c r="A8" s="389">
        <v>3</v>
      </c>
      <c r="B8" s="390" t="s">
        <v>353</v>
      </c>
      <c r="C8" s="406" t="s">
        <v>303</v>
      </c>
      <c r="D8" s="524">
        <v>6.214</v>
      </c>
      <c r="E8" s="525">
        <v>0.621</v>
      </c>
      <c r="F8" s="525">
        <v>0.253</v>
      </c>
      <c r="G8" s="525">
        <v>0.637</v>
      </c>
      <c r="H8" s="525">
        <v>0.26</v>
      </c>
      <c r="I8" s="525">
        <v>0.44</v>
      </c>
      <c r="J8" s="525">
        <f>E8+F8+G8+H8+I8</f>
        <v>2.2110000000000003</v>
      </c>
      <c r="K8" s="389" t="str">
        <f>K7</f>
        <v>Không đạt</v>
      </c>
      <c r="L8" s="371"/>
      <c r="N8" s="370"/>
      <c r="O8" s="371"/>
      <c r="Q8" s="370"/>
      <c r="R8" s="371"/>
      <c r="T8" s="370"/>
      <c r="U8" s="371"/>
      <c r="W8" s="370"/>
    </row>
    <row r="9" spans="1:11" ht="52.5" customHeight="1">
      <c r="A9" s="389">
        <v>4</v>
      </c>
      <c r="B9" s="408" t="s">
        <v>354</v>
      </c>
      <c r="C9" s="406" t="s">
        <v>356</v>
      </c>
      <c r="D9" s="524">
        <f>D6</f>
        <v>1.9</v>
      </c>
      <c r="E9" s="525">
        <v>0.702</v>
      </c>
      <c r="F9" s="525">
        <v>0.786</v>
      </c>
      <c r="G9" s="525">
        <v>0.868</v>
      </c>
      <c r="H9" s="525">
        <v>0.894</v>
      </c>
      <c r="I9" s="525">
        <v>1.025</v>
      </c>
      <c r="J9" s="525">
        <v>1.025</v>
      </c>
      <c r="K9" s="389" t="str">
        <f>K8</f>
        <v>Không đạt</v>
      </c>
    </row>
    <row r="10" spans="1:11" ht="52.5" customHeight="1">
      <c r="A10" s="389">
        <v>5</v>
      </c>
      <c r="B10" s="408" t="s">
        <v>355</v>
      </c>
      <c r="C10" s="406" t="s">
        <v>356</v>
      </c>
      <c r="D10" s="528" t="s">
        <v>536</v>
      </c>
      <c r="E10" s="525">
        <v>0.043</v>
      </c>
      <c r="F10" s="525">
        <v>0.021</v>
      </c>
      <c r="G10" s="525">
        <v>0.031</v>
      </c>
      <c r="H10" s="525">
        <v>0.053</v>
      </c>
      <c r="I10" s="525">
        <v>0.03</v>
      </c>
      <c r="J10" s="525">
        <f>E10+F10+G10+H10+I10</f>
        <v>0.178</v>
      </c>
      <c r="K10" s="389"/>
    </row>
    <row r="11" spans="1:11" ht="16.5">
      <c r="A11" s="383"/>
      <c r="B11" s="393"/>
      <c r="C11" s="394"/>
      <c r="D11" s="394"/>
      <c r="E11" s="395"/>
      <c r="F11" s="395"/>
      <c r="G11" s="395"/>
      <c r="H11" s="395"/>
      <c r="I11" s="395"/>
      <c r="J11" s="395"/>
      <c r="K11" s="395"/>
    </row>
    <row r="12" spans="1:11" ht="16.5">
      <c r="A12" s="383"/>
      <c r="B12" s="1300" t="s">
        <v>404</v>
      </c>
      <c r="C12" s="1300"/>
      <c r="D12" s="1300"/>
      <c r="E12" s="395"/>
      <c r="F12" s="395"/>
      <c r="G12" s="395"/>
      <c r="H12" s="395"/>
      <c r="I12" s="395"/>
      <c r="J12" s="395"/>
      <c r="K12" s="395"/>
    </row>
    <row r="13" spans="1:11" ht="30" customHeight="1">
      <c r="A13" s="383"/>
      <c r="B13" s="395" t="s">
        <v>537</v>
      </c>
      <c r="C13" s="395"/>
      <c r="D13" s="395"/>
      <c r="E13" s="395"/>
      <c r="F13" s="395"/>
      <c r="G13" s="395"/>
      <c r="H13" s="395"/>
      <c r="I13" s="395"/>
      <c r="J13" s="395"/>
      <c r="K13" s="395"/>
    </row>
    <row r="14" spans="1:11" ht="23.25" customHeight="1">
      <c r="A14" s="383"/>
      <c r="B14" s="1341" t="s">
        <v>538</v>
      </c>
      <c r="C14" s="1341"/>
      <c r="D14" s="1341"/>
      <c r="E14" s="1341"/>
      <c r="F14" s="1341"/>
      <c r="G14" s="1341"/>
      <c r="H14" s="1341"/>
      <c r="I14" s="1341"/>
      <c r="J14" s="395"/>
      <c r="K14" s="395"/>
    </row>
    <row r="15" spans="1:11" ht="16.5">
      <c r="A15" s="383"/>
      <c r="B15" s="393"/>
      <c r="C15" s="394"/>
      <c r="D15" s="394"/>
      <c r="E15" s="395"/>
      <c r="F15" s="395"/>
      <c r="G15" s="395"/>
      <c r="H15" s="395"/>
      <c r="I15" s="395"/>
      <c r="J15" s="395"/>
      <c r="K15" s="395"/>
    </row>
    <row r="16" spans="1:11" ht="16.5">
      <c r="A16" s="383"/>
      <c r="B16" s="393"/>
      <c r="C16" s="394"/>
      <c r="D16" s="394"/>
      <c r="E16" s="395"/>
      <c r="F16" s="395"/>
      <c r="G16" s="395"/>
      <c r="H16" s="395"/>
      <c r="I16" s="395"/>
      <c r="J16" s="395"/>
      <c r="K16" s="395"/>
    </row>
    <row r="17" spans="1:11" ht="16.5">
      <c r="A17" s="383"/>
      <c r="B17" s="393"/>
      <c r="C17" s="394"/>
      <c r="D17" s="394"/>
      <c r="E17" s="395"/>
      <c r="F17" s="395"/>
      <c r="G17" s="395"/>
      <c r="H17" s="395"/>
      <c r="I17" s="395"/>
      <c r="J17" s="395"/>
      <c r="K17" s="395"/>
    </row>
    <row r="18" spans="1:11" ht="16.5">
      <c r="A18" s="383"/>
      <c r="B18" s="393"/>
      <c r="C18" s="394"/>
      <c r="D18" s="394"/>
      <c r="E18" s="395"/>
      <c r="F18" s="395"/>
      <c r="G18" s="395"/>
      <c r="H18" s="395"/>
      <c r="I18" s="395"/>
      <c r="J18" s="395"/>
      <c r="K18" s="395"/>
    </row>
    <row r="19" spans="1:23" ht="16.5">
      <c r="A19" s="383"/>
      <c r="B19" s="409"/>
      <c r="C19" s="394"/>
      <c r="D19" s="394"/>
      <c r="E19" s="405"/>
      <c r="F19" s="395"/>
      <c r="G19" s="395"/>
      <c r="H19" s="395"/>
      <c r="I19" s="395"/>
      <c r="J19" s="395"/>
      <c r="K19" s="383"/>
      <c r="L19" s="371"/>
      <c r="N19" s="370"/>
      <c r="O19" s="371"/>
      <c r="Q19" s="370"/>
      <c r="R19" s="371"/>
      <c r="T19" s="370"/>
      <c r="U19" s="371"/>
      <c r="W19" s="370"/>
    </row>
    <row r="20" spans="1:21" ht="16.5">
      <c r="A20" s="383"/>
      <c r="B20" s="393"/>
      <c r="C20" s="394"/>
      <c r="D20" s="394"/>
      <c r="E20" s="405"/>
      <c r="F20" s="395"/>
      <c r="G20" s="395"/>
      <c r="H20" s="395"/>
      <c r="I20" s="395"/>
      <c r="J20" s="395"/>
      <c r="K20" s="383"/>
      <c r="L20" s="371"/>
      <c r="N20" s="370"/>
      <c r="O20" s="371"/>
      <c r="Q20" s="370"/>
      <c r="R20" s="371"/>
      <c r="T20" s="370"/>
      <c r="U20" s="371"/>
    </row>
    <row r="21" spans="1:23" ht="16.5">
      <c r="A21" s="383"/>
      <c r="B21" s="409"/>
      <c r="C21" s="394"/>
      <c r="D21" s="394"/>
      <c r="E21" s="405"/>
      <c r="F21" s="395"/>
      <c r="G21" s="395"/>
      <c r="H21" s="395"/>
      <c r="I21" s="395"/>
      <c r="J21" s="395"/>
      <c r="K21" s="383"/>
      <c r="L21" s="371"/>
      <c r="N21" s="370"/>
      <c r="O21" s="371"/>
      <c r="Q21" s="370"/>
      <c r="R21" s="371"/>
      <c r="T21" s="370"/>
      <c r="U21" s="371"/>
      <c r="W21" s="370"/>
    </row>
    <row r="22" spans="1:21" ht="16.5">
      <c r="A22" s="383"/>
      <c r="B22" s="393"/>
      <c r="C22" s="394"/>
      <c r="D22" s="394"/>
      <c r="E22" s="395"/>
      <c r="F22" s="395"/>
      <c r="G22" s="395"/>
      <c r="H22" s="395"/>
      <c r="I22" s="395"/>
      <c r="J22" s="395"/>
      <c r="K22" s="395"/>
      <c r="L22" s="371"/>
      <c r="N22" s="370"/>
      <c r="O22" s="371"/>
      <c r="Q22" s="370"/>
      <c r="R22" s="371"/>
      <c r="T22" s="370"/>
      <c r="U22" s="371"/>
    </row>
    <row r="23" spans="1:23" ht="16.5">
      <c r="A23" s="383"/>
      <c r="B23" s="409"/>
      <c r="C23" s="394"/>
      <c r="D23" s="394"/>
      <c r="E23" s="405"/>
      <c r="F23" s="395"/>
      <c r="G23" s="395"/>
      <c r="H23" s="395"/>
      <c r="I23" s="395"/>
      <c r="J23" s="395"/>
      <c r="K23" s="395"/>
      <c r="L23" s="371"/>
      <c r="N23" s="370"/>
      <c r="O23" s="371"/>
      <c r="Q23" s="370"/>
      <c r="R23" s="371"/>
      <c r="T23" s="370"/>
      <c r="U23" s="371"/>
      <c r="W23" s="370"/>
    </row>
    <row r="24" spans="1:11" ht="16.5">
      <c r="A24" s="383"/>
      <c r="B24" s="393"/>
      <c r="C24" s="394"/>
      <c r="D24" s="394"/>
      <c r="E24" s="395"/>
      <c r="F24" s="395"/>
      <c r="G24" s="395"/>
      <c r="H24" s="395"/>
      <c r="I24" s="395"/>
      <c r="J24" s="395"/>
      <c r="K24" s="395"/>
    </row>
    <row r="25" spans="1:11" ht="16.5">
      <c r="A25" s="383"/>
      <c r="B25" s="393"/>
      <c r="C25" s="394"/>
      <c r="D25" s="394"/>
      <c r="E25" s="395"/>
      <c r="F25" s="395"/>
      <c r="G25" s="395"/>
      <c r="H25" s="395"/>
      <c r="I25" s="395"/>
      <c r="J25" s="395"/>
      <c r="K25" s="395"/>
    </row>
    <row r="26" spans="1:11" ht="16.5">
      <c r="A26" s="383"/>
      <c r="B26" s="393"/>
      <c r="C26" s="394"/>
      <c r="D26" s="394"/>
      <c r="E26" s="395"/>
      <c r="F26" s="395"/>
      <c r="G26" s="395"/>
      <c r="H26" s="395"/>
      <c r="I26" s="395"/>
      <c r="J26" s="395"/>
      <c r="K26" s="395"/>
    </row>
    <row r="27" spans="1:11" ht="16.5">
      <c r="A27" s="383"/>
      <c r="B27" s="393"/>
      <c r="C27" s="394"/>
      <c r="D27" s="394"/>
      <c r="E27" s="395"/>
      <c r="F27" s="395"/>
      <c r="G27" s="395"/>
      <c r="H27" s="395"/>
      <c r="I27" s="395"/>
      <c r="J27" s="395"/>
      <c r="K27" s="395"/>
    </row>
    <row r="28" spans="1:11" ht="16.5">
      <c r="A28" s="383"/>
      <c r="B28" s="393"/>
      <c r="C28" s="394"/>
      <c r="D28" s="394"/>
      <c r="E28" s="395"/>
      <c r="F28" s="395"/>
      <c r="G28" s="395"/>
      <c r="H28" s="395"/>
      <c r="I28" s="395"/>
      <c r="J28" s="395"/>
      <c r="K28" s="395"/>
    </row>
    <row r="29" spans="1:11" ht="16.5">
      <c r="A29" s="383"/>
      <c r="B29" s="393"/>
      <c r="C29" s="394"/>
      <c r="D29" s="394"/>
      <c r="E29" s="395"/>
      <c r="F29" s="395"/>
      <c r="G29" s="395"/>
      <c r="H29" s="395"/>
      <c r="I29" s="395"/>
      <c r="J29" s="395"/>
      <c r="K29" s="395"/>
    </row>
    <row r="30" spans="1:11" ht="16.5">
      <c r="A30" s="383"/>
      <c r="B30" s="393"/>
      <c r="C30" s="394"/>
      <c r="D30" s="394"/>
      <c r="E30" s="395"/>
      <c r="F30" s="395"/>
      <c r="G30" s="395"/>
      <c r="H30" s="395"/>
      <c r="I30" s="395"/>
      <c r="J30" s="395"/>
      <c r="K30" s="395"/>
    </row>
    <row r="31" spans="1:11" ht="16.5">
      <c r="A31" s="383"/>
      <c r="B31" s="393"/>
      <c r="C31" s="394"/>
      <c r="D31" s="394"/>
      <c r="E31" s="395"/>
      <c r="F31" s="395"/>
      <c r="G31" s="395"/>
      <c r="H31" s="395"/>
      <c r="I31" s="395"/>
      <c r="J31" s="395"/>
      <c r="K31" s="395"/>
    </row>
    <row r="32" spans="1:11" ht="16.5">
      <c r="A32" s="383"/>
      <c r="B32" s="393"/>
      <c r="C32" s="394"/>
      <c r="D32" s="394"/>
      <c r="E32" s="395"/>
      <c r="F32" s="395"/>
      <c r="G32" s="395"/>
      <c r="H32" s="395"/>
      <c r="I32" s="395"/>
      <c r="J32" s="395"/>
      <c r="K32" s="395"/>
    </row>
    <row r="33" spans="1:11" ht="16.5">
      <c r="A33" s="383"/>
      <c r="B33" s="393"/>
      <c r="C33" s="394"/>
      <c r="D33" s="394"/>
      <c r="E33" s="395"/>
      <c r="F33" s="395"/>
      <c r="G33" s="395"/>
      <c r="H33" s="395"/>
      <c r="I33" s="395"/>
      <c r="J33" s="395"/>
      <c r="K33" s="395"/>
    </row>
    <row r="34" spans="1:11" ht="12.75" customHeight="1">
      <c r="A34" s="383"/>
      <c r="B34" s="393"/>
      <c r="C34" s="394"/>
      <c r="D34" s="394"/>
      <c r="E34" s="395"/>
      <c r="F34" s="395"/>
      <c r="G34" s="395"/>
      <c r="H34" s="395"/>
      <c r="I34" s="395"/>
      <c r="J34" s="395"/>
      <c r="K34" s="395"/>
    </row>
    <row r="35" spans="1:11" ht="16.5">
      <c r="A35" s="383"/>
      <c r="B35" s="393"/>
      <c r="C35" s="394"/>
      <c r="D35" s="394"/>
      <c r="E35" s="395"/>
      <c r="F35" s="395"/>
      <c r="G35" s="395"/>
      <c r="H35" s="395"/>
      <c r="I35" s="395"/>
      <c r="J35" s="395"/>
      <c r="K35" s="395"/>
    </row>
    <row r="36" spans="1:23" ht="16.5">
      <c r="A36" s="383"/>
      <c r="B36" s="409"/>
      <c r="C36" s="394"/>
      <c r="D36" s="394"/>
      <c r="E36" s="405"/>
      <c r="F36" s="395"/>
      <c r="G36" s="395"/>
      <c r="H36" s="395"/>
      <c r="I36" s="395"/>
      <c r="J36" s="395"/>
      <c r="K36" s="395"/>
      <c r="L36" s="371"/>
      <c r="N36" s="370"/>
      <c r="O36" s="371"/>
      <c r="Q36" s="370"/>
      <c r="R36" s="371"/>
      <c r="T36" s="370"/>
      <c r="U36" s="371"/>
      <c r="W36" s="370"/>
    </row>
    <row r="37" spans="1:11" ht="16.5">
      <c r="A37" s="383"/>
      <c r="B37" s="393"/>
      <c r="C37" s="394"/>
      <c r="D37" s="394"/>
      <c r="E37" s="395"/>
      <c r="F37" s="395"/>
      <c r="G37" s="395"/>
      <c r="H37" s="395"/>
      <c r="I37" s="395"/>
      <c r="J37" s="395"/>
      <c r="K37" s="395"/>
    </row>
    <row r="38" spans="1:11" ht="16.5">
      <c r="A38" s="383"/>
      <c r="B38" s="393"/>
      <c r="C38" s="394"/>
      <c r="D38" s="394"/>
      <c r="E38" s="395"/>
      <c r="F38" s="395"/>
      <c r="G38" s="395"/>
      <c r="H38" s="395"/>
      <c r="I38" s="395"/>
      <c r="J38" s="395"/>
      <c r="K38" s="395"/>
    </row>
    <row r="39" spans="1:11" ht="16.5">
      <c r="A39" s="383"/>
      <c r="B39" s="393"/>
      <c r="C39" s="394"/>
      <c r="D39" s="394"/>
      <c r="E39" s="395"/>
      <c r="F39" s="395"/>
      <c r="G39" s="395"/>
      <c r="H39" s="395"/>
      <c r="I39" s="395"/>
      <c r="J39" s="395"/>
      <c r="K39" s="395"/>
    </row>
    <row r="40" spans="1:11" ht="16.5">
      <c r="A40" s="383"/>
      <c r="B40" s="393"/>
      <c r="C40" s="394"/>
      <c r="D40" s="394"/>
      <c r="E40" s="395"/>
      <c r="F40" s="395"/>
      <c r="G40" s="395"/>
      <c r="H40" s="395"/>
      <c r="I40" s="395"/>
      <c r="J40" s="395"/>
      <c r="K40" s="395"/>
    </row>
    <row r="41" spans="1:11" ht="16.5">
      <c r="A41" s="383"/>
      <c r="B41" s="393"/>
      <c r="C41" s="394"/>
      <c r="D41" s="394"/>
      <c r="E41" s="395"/>
      <c r="F41" s="395"/>
      <c r="G41" s="395"/>
      <c r="H41" s="395"/>
      <c r="I41" s="395"/>
      <c r="J41" s="395"/>
      <c r="K41" s="395"/>
    </row>
    <row r="42" spans="1:11" ht="16.5">
      <c r="A42" s="383"/>
      <c r="B42" s="393"/>
      <c r="C42" s="394"/>
      <c r="D42" s="394"/>
      <c r="E42" s="395"/>
      <c r="F42" s="395"/>
      <c r="G42" s="395"/>
      <c r="H42" s="395"/>
      <c r="I42" s="395"/>
      <c r="J42" s="395"/>
      <c r="K42" s="395"/>
    </row>
    <row r="43" spans="1:11" ht="16.5">
      <c r="A43" s="383"/>
      <c r="B43" s="393"/>
      <c r="C43" s="394"/>
      <c r="D43" s="394"/>
      <c r="E43" s="395"/>
      <c r="F43" s="395"/>
      <c r="G43" s="395"/>
      <c r="H43" s="395"/>
      <c r="I43" s="395"/>
      <c r="J43" s="395"/>
      <c r="K43" s="395"/>
    </row>
    <row r="44" spans="1:11" ht="16.5">
      <c r="A44" s="383"/>
      <c r="B44" s="393"/>
      <c r="C44" s="394"/>
      <c r="D44" s="394"/>
      <c r="E44" s="395"/>
      <c r="F44" s="395"/>
      <c r="G44" s="395"/>
      <c r="H44" s="395"/>
      <c r="I44" s="395"/>
      <c r="J44" s="395"/>
      <c r="K44" s="395"/>
    </row>
    <row r="45" spans="1:11" ht="16.5">
      <c r="A45" s="383"/>
      <c r="B45" s="393"/>
      <c r="C45" s="394"/>
      <c r="D45" s="394"/>
      <c r="E45" s="395"/>
      <c r="F45" s="395"/>
      <c r="G45" s="395"/>
      <c r="H45" s="395"/>
      <c r="I45" s="395"/>
      <c r="J45" s="395"/>
      <c r="K45" s="395"/>
    </row>
    <row r="46" spans="1:11" ht="16.5">
      <c r="A46" s="383"/>
      <c r="B46" s="393"/>
      <c r="C46" s="394"/>
      <c r="D46" s="394"/>
      <c r="E46" s="395"/>
      <c r="F46" s="395"/>
      <c r="G46" s="395"/>
      <c r="H46" s="395"/>
      <c r="I46" s="395"/>
      <c r="J46" s="395"/>
      <c r="K46" s="395"/>
    </row>
    <row r="47" spans="1:11" ht="16.5">
      <c r="A47" s="383"/>
      <c r="B47" s="393"/>
      <c r="C47" s="394"/>
      <c r="D47" s="394"/>
      <c r="E47" s="395"/>
      <c r="F47" s="395"/>
      <c r="G47" s="395"/>
      <c r="H47" s="395"/>
      <c r="I47" s="395"/>
      <c r="J47" s="395"/>
      <c r="K47" s="395"/>
    </row>
    <row r="48" spans="1:11" ht="16.5">
      <c r="A48" s="383"/>
      <c r="B48" s="393"/>
      <c r="C48" s="394"/>
      <c r="D48" s="394"/>
      <c r="E48" s="395"/>
      <c r="F48" s="395"/>
      <c r="G48" s="395"/>
      <c r="H48" s="395"/>
      <c r="I48" s="395"/>
      <c r="J48" s="395"/>
      <c r="K48" s="395"/>
    </row>
    <row r="49" spans="1:11" ht="16.5">
      <c r="A49" s="383"/>
      <c r="B49" s="393"/>
      <c r="C49" s="394"/>
      <c r="D49" s="394"/>
      <c r="E49" s="395"/>
      <c r="F49" s="395"/>
      <c r="G49" s="395"/>
      <c r="H49" s="395"/>
      <c r="I49" s="395"/>
      <c r="J49" s="395"/>
      <c r="K49" s="395"/>
    </row>
    <row r="50" spans="1:11" ht="16.5">
      <c r="A50" s="383"/>
      <c r="B50" s="393"/>
      <c r="C50" s="394"/>
      <c r="D50" s="394"/>
      <c r="E50" s="395"/>
      <c r="F50" s="395"/>
      <c r="G50" s="395"/>
      <c r="H50" s="395"/>
      <c r="I50" s="395"/>
      <c r="J50" s="395"/>
      <c r="K50" s="395"/>
    </row>
    <row r="51" spans="1:11" ht="16.5">
      <c r="A51" s="383"/>
      <c r="B51" s="393"/>
      <c r="C51" s="394"/>
      <c r="D51" s="394"/>
      <c r="E51" s="395"/>
      <c r="F51" s="395"/>
      <c r="G51" s="395"/>
      <c r="H51" s="395"/>
      <c r="I51" s="395"/>
      <c r="J51" s="395"/>
      <c r="K51" s="395"/>
    </row>
    <row r="52" spans="1:11" ht="16.5">
      <c r="A52" s="383"/>
      <c r="B52" s="393"/>
      <c r="C52" s="394"/>
      <c r="D52" s="394"/>
      <c r="E52" s="395"/>
      <c r="F52" s="395"/>
      <c r="G52" s="395"/>
      <c r="H52" s="395"/>
      <c r="I52" s="395"/>
      <c r="J52" s="395"/>
      <c r="K52" s="395"/>
    </row>
    <row r="53" spans="1:11" ht="16.5">
      <c r="A53" s="383"/>
      <c r="B53" s="393"/>
      <c r="C53" s="394"/>
      <c r="D53" s="394"/>
      <c r="E53" s="395"/>
      <c r="F53" s="395"/>
      <c r="G53" s="395"/>
      <c r="H53" s="395"/>
      <c r="I53" s="395"/>
      <c r="J53" s="395"/>
      <c r="K53" s="395"/>
    </row>
    <row r="54" spans="1:11" ht="16.5">
      <c r="A54" s="383"/>
      <c r="B54" s="393"/>
      <c r="C54" s="394"/>
      <c r="D54" s="394"/>
      <c r="E54" s="395"/>
      <c r="F54" s="395"/>
      <c r="G54" s="395"/>
      <c r="H54" s="395"/>
      <c r="I54" s="395"/>
      <c r="J54" s="395"/>
      <c r="K54" s="395"/>
    </row>
    <row r="55" spans="1:11" ht="16.5">
      <c r="A55" s="383"/>
      <c r="B55" s="393"/>
      <c r="C55" s="394"/>
      <c r="D55" s="394"/>
      <c r="E55" s="395"/>
      <c r="F55" s="395"/>
      <c r="G55" s="395"/>
      <c r="H55" s="395"/>
      <c r="I55" s="395"/>
      <c r="J55" s="395"/>
      <c r="K55" s="395"/>
    </row>
    <row r="56" spans="1:11" ht="16.5">
      <c r="A56" s="383"/>
      <c r="B56" s="393"/>
      <c r="C56" s="394"/>
      <c r="D56" s="394"/>
      <c r="E56" s="395"/>
      <c r="F56" s="395"/>
      <c r="G56" s="395"/>
      <c r="H56" s="395"/>
      <c r="I56" s="395"/>
      <c r="J56" s="395"/>
      <c r="K56" s="395"/>
    </row>
    <row r="57" spans="1:11" ht="16.5">
      <c r="A57" s="383"/>
      <c r="B57" s="393"/>
      <c r="C57" s="394"/>
      <c r="D57" s="394"/>
      <c r="E57" s="395"/>
      <c r="F57" s="395"/>
      <c r="G57" s="395"/>
      <c r="H57" s="395"/>
      <c r="I57" s="395"/>
      <c r="J57" s="395"/>
      <c r="K57" s="395"/>
    </row>
    <row r="58" spans="1:11" ht="16.5">
      <c r="A58" s="383"/>
      <c r="B58" s="393"/>
      <c r="C58" s="394"/>
      <c r="D58" s="394"/>
      <c r="E58" s="395"/>
      <c r="F58" s="395"/>
      <c r="G58" s="395"/>
      <c r="H58" s="395"/>
      <c r="I58" s="395"/>
      <c r="J58" s="395"/>
      <c r="K58" s="395"/>
    </row>
    <row r="59" spans="1:11" ht="16.5">
      <c r="A59" s="383"/>
      <c r="B59" s="393"/>
      <c r="C59" s="394"/>
      <c r="D59" s="394"/>
      <c r="E59" s="395"/>
      <c r="F59" s="395"/>
      <c r="G59" s="395"/>
      <c r="H59" s="395"/>
      <c r="I59" s="395"/>
      <c r="J59" s="395"/>
      <c r="K59" s="395"/>
    </row>
    <row r="60" spans="1:11" ht="16.5">
      <c r="A60" s="383"/>
      <c r="B60" s="393"/>
      <c r="C60" s="394"/>
      <c r="D60" s="394"/>
      <c r="E60" s="395"/>
      <c r="F60" s="395"/>
      <c r="G60" s="395"/>
      <c r="H60" s="395"/>
      <c r="I60" s="395"/>
      <c r="J60" s="395"/>
      <c r="K60" s="395"/>
    </row>
    <row r="61" spans="1:11" ht="16.5">
      <c r="A61" s="383"/>
      <c r="B61" s="393"/>
      <c r="C61" s="394"/>
      <c r="D61" s="394"/>
      <c r="E61" s="395"/>
      <c r="F61" s="395"/>
      <c r="G61" s="395"/>
      <c r="H61" s="395"/>
      <c r="I61" s="395"/>
      <c r="J61" s="395"/>
      <c r="K61" s="395"/>
    </row>
    <row r="62" spans="1:11" ht="16.5">
      <c r="A62" s="383"/>
      <c r="B62" s="393"/>
      <c r="C62" s="394"/>
      <c r="D62" s="394"/>
      <c r="E62" s="395"/>
      <c r="F62" s="395"/>
      <c r="G62" s="395"/>
      <c r="H62" s="395"/>
      <c r="I62" s="395"/>
      <c r="J62" s="395"/>
      <c r="K62" s="395"/>
    </row>
    <row r="63" spans="1:11" ht="16.5">
      <c r="A63" s="383"/>
      <c r="B63" s="393"/>
      <c r="C63" s="394"/>
      <c r="D63" s="394"/>
      <c r="E63" s="395"/>
      <c r="F63" s="395"/>
      <c r="G63" s="395"/>
      <c r="H63" s="395"/>
      <c r="I63" s="395"/>
      <c r="J63" s="395"/>
      <c r="K63" s="395"/>
    </row>
    <row r="64" spans="1:11" ht="16.5">
      <c r="A64" s="383"/>
      <c r="B64" s="393"/>
      <c r="C64" s="394"/>
      <c r="D64" s="394"/>
      <c r="E64" s="395"/>
      <c r="F64" s="395"/>
      <c r="G64" s="395"/>
      <c r="H64" s="395"/>
      <c r="I64" s="395"/>
      <c r="J64" s="395"/>
      <c r="K64" s="395"/>
    </row>
    <row r="65" spans="1:11" ht="16.5">
      <c r="A65" s="383"/>
      <c r="B65" s="393"/>
      <c r="C65" s="394"/>
      <c r="D65" s="394"/>
      <c r="E65" s="395"/>
      <c r="F65" s="395"/>
      <c r="G65" s="395"/>
      <c r="H65" s="395"/>
      <c r="I65" s="395"/>
      <c r="J65" s="395"/>
      <c r="K65" s="395"/>
    </row>
    <row r="66" spans="1:11" ht="16.5">
      <c r="A66" s="383"/>
      <c r="B66" s="393"/>
      <c r="C66" s="394"/>
      <c r="D66" s="394"/>
      <c r="E66" s="395"/>
      <c r="F66" s="395"/>
      <c r="G66" s="395"/>
      <c r="H66" s="395"/>
      <c r="I66" s="395"/>
      <c r="J66" s="395"/>
      <c r="K66" s="395"/>
    </row>
    <row r="67" spans="1:11" ht="16.5">
      <c r="A67" s="383"/>
      <c r="B67" s="393"/>
      <c r="C67" s="394"/>
      <c r="D67" s="394"/>
      <c r="E67" s="395"/>
      <c r="F67" s="395"/>
      <c r="G67" s="395"/>
      <c r="H67" s="395"/>
      <c r="I67" s="395"/>
      <c r="J67" s="395"/>
      <c r="K67" s="395"/>
    </row>
    <row r="68" spans="1:11" ht="16.5">
      <c r="A68" s="383"/>
      <c r="B68" s="393"/>
      <c r="C68" s="394"/>
      <c r="D68" s="394"/>
      <c r="E68" s="395"/>
      <c r="F68" s="395"/>
      <c r="G68" s="395"/>
      <c r="H68" s="395"/>
      <c r="I68" s="395"/>
      <c r="J68" s="395"/>
      <c r="K68" s="395"/>
    </row>
    <row r="69" spans="1:11" ht="16.5">
      <c r="A69" s="383"/>
      <c r="B69" s="393"/>
      <c r="C69" s="394"/>
      <c r="D69" s="394"/>
      <c r="E69" s="395"/>
      <c r="F69" s="395"/>
      <c r="G69" s="395"/>
      <c r="H69" s="395"/>
      <c r="I69" s="395"/>
      <c r="J69" s="395"/>
      <c r="K69" s="395"/>
    </row>
    <row r="70" spans="1:11" ht="16.5">
      <c r="A70" s="383"/>
      <c r="B70" s="393"/>
      <c r="C70" s="394"/>
      <c r="D70" s="394"/>
      <c r="E70" s="395"/>
      <c r="F70" s="395"/>
      <c r="G70" s="395"/>
      <c r="H70" s="395"/>
      <c r="I70" s="395"/>
      <c r="J70" s="395"/>
      <c r="K70" s="395"/>
    </row>
    <row r="71" spans="1:11" ht="16.5">
      <c r="A71" s="383"/>
      <c r="B71" s="393"/>
      <c r="C71" s="394"/>
      <c r="D71" s="394"/>
      <c r="E71" s="395"/>
      <c r="F71" s="395"/>
      <c r="G71" s="395"/>
      <c r="H71" s="395"/>
      <c r="I71" s="395"/>
      <c r="J71" s="395"/>
      <c r="K71" s="395"/>
    </row>
    <row r="72" spans="1:11" ht="16.5">
      <c r="A72" s="383"/>
      <c r="B72" s="393"/>
      <c r="C72" s="394"/>
      <c r="D72" s="394"/>
      <c r="E72" s="395"/>
      <c r="F72" s="395"/>
      <c r="G72" s="395"/>
      <c r="H72" s="395"/>
      <c r="I72" s="395"/>
      <c r="J72" s="395"/>
      <c r="K72" s="395"/>
    </row>
    <row r="73" spans="1:11" ht="16.5">
      <c r="A73" s="383"/>
      <c r="B73" s="393"/>
      <c r="C73" s="394"/>
      <c r="D73" s="394"/>
      <c r="E73" s="395"/>
      <c r="F73" s="395"/>
      <c r="G73" s="395"/>
      <c r="H73" s="395"/>
      <c r="I73" s="395"/>
      <c r="J73" s="395"/>
      <c r="K73" s="395"/>
    </row>
    <row r="74" spans="1:11" ht="16.5">
      <c r="A74" s="383"/>
      <c r="B74" s="393"/>
      <c r="C74" s="394"/>
      <c r="D74" s="394"/>
      <c r="E74" s="395"/>
      <c r="F74" s="395"/>
      <c r="G74" s="395"/>
      <c r="H74" s="395"/>
      <c r="I74" s="395"/>
      <c r="J74" s="395"/>
      <c r="K74" s="395"/>
    </row>
    <row r="75" spans="1:11" ht="16.5">
      <c r="A75" s="383"/>
      <c r="B75" s="393"/>
      <c r="C75" s="394"/>
      <c r="D75" s="394"/>
      <c r="E75" s="395"/>
      <c r="F75" s="395"/>
      <c r="G75" s="395"/>
      <c r="H75" s="395"/>
      <c r="I75" s="395"/>
      <c r="J75" s="395"/>
      <c r="K75" s="395"/>
    </row>
    <row r="76" spans="1:11" ht="16.5">
      <c r="A76" s="383"/>
      <c r="B76" s="393"/>
      <c r="C76" s="394"/>
      <c r="D76" s="394"/>
      <c r="E76" s="395"/>
      <c r="F76" s="395"/>
      <c r="G76" s="395"/>
      <c r="H76" s="395"/>
      <c r="I76" s="395"/>
      <c r="J76" s="395"/>
      <c r="K76" s="395"/>
    </row>
    <row r="77" spans="1:11" ht="16.5">
      <c r="A77" s="383"/>
      <c r="B77" s="393"/>
      <c r="C77" s="394"/>
      <c r="D77" s="394"/>
      <c r="E77" s="395"/>
      <c r="F77" s="395"/>
      <c r="G77" s="395"/>
      <c r="H77" s="395"/>
      <c r="I77" s="395"/>
      <c r="J77" s="395"/>
      <c r="K77" s="395"/>
    </row>
    <row r="78" spans="1:11" ht="16.5">
      <c r="A78" s="383"/>
      <c r="B78" s="393"/>
      <c r="C78" s="394"/>
      <c r="D78" s="394"/>
      <c r="E78" s="395"/>
      <c r="F78" s="395"/>
      <c r="G78" s="395"/>
      <c r="H78" s="395"/>
      <c r="I78" s="395"/>
      <c r="J78" s="395"/>
      <c r="K78" s="395"/>
    </row>
    <row r="79" spans="1:11" ht="16.5">
      <c r="A79" s="383"/>
      <c r="B79" s="393"/>
      <c r="C79" s="394"/>
      <c r="D79" s="394"/>
      <c r="E79" s="395"/>
      <c r="F79" s="395"/>
      <c r="G79" s="395"/>
      <c r="H79" s="395"/>
      <c r="I79" s="395"/>
      <c r="J79" s="395"/>
      <c r="K79" s="395"/>
    </row>
    <row r="80" spans="1:11" ht="16.5">
      <c r="A80" s="383"/>
      <c r="B80" s="393"/>
      <c r="C80" s="394"/>
      <c r="D80" s="394"/>
      <c r="E80" s="395"/>
      <c r="F80" s="395"/>
      <c r="G80" s="395"/>
      <c r="H80" s="395"/>
      <c r="I80" s="395"/>
      <c r="J80" s="395"/>
      <c r="K80" s="395"/>
    </row>
    <row r="81" spans="1:11" ht="16.5">
      <c r="A81" s="383"/>
      <c r="B81" s="393"/>
      <c r="C81" s="394"/>
      <c r="D81" s="394"/>
      <c r="E81" s="395"/>
      <c r="F81" s="395"/>
      <c r="G81" s="395"/>
      <c r="H81" s="395"/>
      <c r="I81" s="395"/>
      <c r="J81" s="395"/>
      <c r="K81" s="395"/>
    </row>
    <row r="82" spans="1:11" ht="16.5">
      <c r="A82" s="383"/>
      <c r="B82" s="393"/>
      <c r="C82" s="394"/>
      <c r="D82" s="394"/>
      <c r="E82" s="395"/>
      <c r="F82" s="395"/>
      <c r="G82" s="395"/>
      <c r="H82" s="395"/>
      <c r="I82" s="395"/>
      <c r="J82" s="395"/>
      <c r="K82" s="395"/>
    </row>
    <row r="83" spans="1:11" ht="16.5">
      <c r="A83" s="383"/>
      <c r="B83" s="393"/>
      <c r="C83" s="394"/>
      <c r="D83" s="394"/>
      <c r="E83" s="395"/>
      <c r="F83" s="395"/>
      <c r="G83" s="395"/>
      <c r="H83" s="395"/>
      <c r="I83" s="395"/>
      <c r="J83" s="395"/>
      <c r="K83" s="395"/>
    </row>
    <row r="84" spans="1:11" ht="16.5">
      <c r="A84" s="383"/>
      <c r="B84" s="393"/>
      <c r="C84" s="394"/>
      <c r="D84" s="394"/>
      <c r="E84" s="395"/>
      <c r="F84" s="395"/>
      <c r="G84" s="395"/>
      <c r="H84" s="395"/>
      <c r="I84" s="395"/>
      <c r="J84" s="395"/>
      <c r="K84" s="395"/>
    </row>
    <row r="85" spans="1:11" ht="16.5">
      <c r="A85" s="383"/>
      <c r="B85" s="393"/>
      <c r="C85" s="394"/>
      <c r="D85" s="394"/>
      <c r="E85" s="395"/>
      <c r="F85" s="395"/>
      <c r="G85" s="395"/>
      <c r="H85" s="395"/>
      <c r="I85" s="395"/>
      <c r="J85" s="395"/>
      <c r="K85" s="395"/>
    </row>
    <row r="86" spans="1:11" ht="16.5">
      <c r="A86" s="383"/>
      <c r="B86" s="393"/>
      <c r="C86" s="394"/>
      <c r="D86" s="394"/>
      <c r="E86" s="395"/>
      <c r="F86" s="395"/>
      <c r="G86" s="395"/>
      <c r="H86" s="395"/>
      <c r="I86" s="395"/>
      <c r="J86" s="395"/>
      <c r="K86" s="395"/>
    </row>
    <row r="87" spans="1:11" ht="16.5">
      <c r="A87" s="383"/>
      <c r="B87" s="393"/>
      <c r="C87" s="394"/>
      <c r="D87" s="394"/>
      <c r="E87" s="395"/>
      <c r="F87" s="395"/>
      <c r="G87" s="395"/>
      <c r="H87" s="395"/>
      <c r="I87" s="395"/>
      <c r="J87" s="395"/>
      <c r="K87" s="395"/>
    </row>
    <row r="88" spans="1:11" ht="16.5">
      <c r="A88" s="383"/>
      <c r="B88" s="393"/>
      <c r="C88" s="394"/>
      <c r="D88" s="394"/>
      <c r="E88" s="395"/>
      <c r="F88" s="395"/>
      <c r="G88" s="395"/>
      <c r="H88" s="395"/>
      <c r="I88" s="395"/>
      <c r="J88" s="395"/>
      <c r="K88" s="395"/>
    </row>
    <row r="89" spans="1:11" ht="16.5">
      <c r="A89" s="383"/>
      <c r="B89" s="393"/>
      <c r="C89" s="394"/>
      <c r="D89" s="394"/>
      <c r="E89" s="395"/>
      <c r="F89" s="395"/>
      <c r="G89" s="395"/>
      <c r="H89" s="395"/>
      <c r="I89" s="395"/>
      <c r="J89" s="395"/>
      <c r="K89" s="395"/>
    </row>
    <row r="90" spans="1:11" ht="16.5">
      <c r="A90" s="383"/>
      <c r="B90" s="393"/>
      <c r="C90" s="394"/>
      <c r="D90" s="394"/>
      <c r="E90" s="395"/>
      <c r="F90" s="395"/>
      <c r="G90" s="395"/>
      <c r="H90" s="395"/>
      <c r="I90" s="395"/>
      <c r="J90" s="395"/>
      <c r="K90" s="395"/>
    </row>
    <row r="91" spans="1:11" ht="16.5">
      <c r="A91" s="383"/>
      <c r="B91" s="393"/>
      <c r="C91" s="394"/>
      <c r="D91" s="394"/>
      <c r="E91" s="395"/>
      <c r="F91" s="395"/>
      <c r="G91" s="395"/>
      <c r="H91" s="395"/>
      <c r="I91" s="395"/>
      <c r="J91" s="395"/>
      <c r="K91" s="395"/>
    </row>
    <row r="92" spans="1:11" ht="16.5">
      <c r="A92" s="383"/>
      <c r="B92" s="393"/>
      <c r="C92" s="394"/>
      <c r="D92" s="394"/>
      <c r="E92" s="395"/>
      <c r="F92" s="395"/>
      <c r="G92" s="395"/>
      <c r="H92" s="395"/>
      <c r="I92" s="395"/>
      <c r="J92" s="395"/>
      <c r="K92" s="395"/>
    </row>
    <row r="93" spans="1:11" ht="16.5">
      <c r="A93" s="383"/>
      <c r="B93" s="393"/>
      <c r="C93" s="394"/>
      <c r="D93" s="394"/>
      <c r="E93" s="395"/>
      <c r="F93" s="395"/>
      <c r="G93" s="395"/>
      <c r="H93" s="395"/>
      <c r="I93" s="395"/>
      <c r="J93" s="395"/>
      <c r="K93" s="395"/>
    </row>
    <row r="94" spans="1:11" ht="16.5">
      <c r="A94" s="383"/>
      <c r="B94" s="393"/>
      <c r="C94" s="394"/>
      <c r="D94" s="394"/>
      <c r="E94" s="395"/>
      <c r="F94" s="395"/>
      <c r="G94" s="395"/>
      <c r="H94" s="395"/>
      <c r="I94" s="395"/>
      <c r="J94" s="395"/>
      <c r="K94" s="395"/>
    </row>
    <row r="95" spans="1:11" ht="16.5">
      <c r="A95" s="383"/>
      <c r="B95" s="393"/>
      <c r="C95" s="394"/>
      <c r="D95" s="394"/>
      <c r="E95" s="395"/>
      <c r="F95" s="395"/>
      <c r="G95" s="395"/>
      <c r="H95" s="395"/>
      <c r="I95" s="395"/>
      <c r="J95" s="395"/>
      <c r="K95" s="395"/>
    </row>
    <row r="96" spans="1:11" ht="16.5">
      <c r="A96" s="383"/>
      <c r="B96" s="393"/>
      <c r="C96" s="394"/>
      <c r="D96" s="394"/>
      <c r="E96" s="395"/>
      <c r="F96" s="395"/>
      <c r="G96" s="395"/>
      <c r="H96" s="395"/>
      <c r="I96" s="395"/>
      <c r="J96" s="395"/>
      <c r="K96" s="395"/>
    </row>
    <row r="97" spans="1:11" ht="16.5">
      <c r="A97" s="383"/>
      <c r="B97" s="393"/>
      <c r="C97" s="394"/>
      <c r="D97" s="394"/>
      <c r="E97" s="395"/>
      <c r="F97" s="395"/>
      <c r="G97" s="395"/>
      <c r="H97" s="395"/>
      <c r="I97" s="395"/>
      <c r="J97" s="395"/>
      <c r="K97" s="395"/>
    </row>
    <row r="98" spans="1:11" ht="16.5">
      <c r="A98" s="383"/>
      <c r="B98" s="393"/>
      <c r="C98" s="394"/>
      <c r="D98" s="394"/>
      <c r="E98" s="395"/>
      <c r="F98" s="395"/>
      <c r="G98" s="395"/>
      <c r="H98" s="395"/>
      <c r="I98" s="395"/>
      <c r="J98" s="395"/>
      <c r="K98" s="395"/>
    </row>
    <row r="99" spans="1:11" ht="16.5">
      <c r="A99" s="383"/>
      <c r="B99" s="393"/>
      <c r="C99" s="394"/>
      <c r="D99" s="394"/>
      <c r="E99" s="395"/>
      <c r="F99" s="395"/>
      <c r="G99" s="395"/>
      <c r="H99" s="395"/>
      <c r="I99" s="395"/>
      <c r="J99" s="395"/>
      <c r="K99" s="395"/>
    </row>
    <row r="100" spans="1:11" ht="16.5">
      <c r="A100" s="383"/>
      <c r="B100" s="393"/>
      <c r="C100" s="394"/>
      <c r="D100" s="394"/>
      <c r="E100" s="395"/>
      <c r="F100" s="395"/>
      <c r="G100" s="395"/>
      <c r="H100" s="395"/>
      <c r="I100" s="395"/>
      <c r="J100" s="395"/>
      <c r="K100" s="395"/>
    </row>
    <row r="101" spans="1:11" ht="16.5">
      <c r="A101" s="383"/>
      <c r="B101" s="393"/>
      <c r="C101" s="394"/>
      <c r="D101" s="394"/>
      <c r="E101" s="395"/>
      <c r="F101" s="395"/>
      <c r="G101" s="395"/>
      <c r="H101" s="395"/>
      <c r="I101" s="395"/>
      <c r="J101" s="395"/>
      <c r="K101" s="395"/>
    </row>
    <row r="102" spans="1:11" ht="16.5">
      <c r="A102" s="383"/>
      <c r="B102" s="393"/>
      <c r="C102" s="394"/>
      <c r="D102" s="394"/>
      <c r="E102" s="395"/>
      <c r="F102" s="395"/>
      <c r="G102" s="395"/>
      <c r="H102" s="395"/>
      <c r="I102" s="395"/>
      <c r="J102" s="395"/>
      <c r="K102" s="395"/>
    </row>
    <row r="103" spans="1:11" ht="16.5">
      <c r="A103" s="383"/>
      <c r="B103" s="393"/>
      <c r="C103" s="394"/>
      <c r="D103" s="394"/>
      <c r="E103" s="395"/>
      <c r="F103" s="395"/>
      <c r="G103" s="395"/>
      <c r="H103" s="395"/>
      <c r="I103" s="395"/>
      <c r="J103" s="395"/>
      <c r="K103" s="395"/>
    </row>
    <row r="104" spans="1:11" ht="16.5">
      <c r="A104" s="383"/>
      <c r="B104" s="393"/>
      <c r="C104" s="394"/>
      <c r="D104" s="394"/>
      <c r="E104" s="395"/>
      <c r="F104" s="395"/>
      <c r="G104" s="395"/>
      <c r="H104" s="395"/>
      <c r="I104" s="395"/>
      <c r="J104" s="395"/>
      <c r="K104" s="395"/>
    </row>
    <row r="105" spans="1:11" ht="16.5">
      <c r="A105" s="383"/>
      <c r="B105" s="393"/>
      <c r="C105" s="394"/>
      <c r="D105" s="394"/>
      <c r="E105" s="395"/>
      <c r="F105" s="395"/>
      <c r="G105" s="395"/>
      <c r="H105" s="395"/>
      <c r="I105" s="395"/>
      <c r="J105" s="395"/>
      <c r="K105" s="395"/>
    </row>
    <row r="106" spans="1:11" ht="16.5">
      <c r="A106" s="383"/>
      <c r="B106" s="393"/>
      <c r="C106" s="394"/>
      <c r="D106" s="394"/>
      <c r="E106" s="395"/>
      <c r="F106" s="395"/>
      <c r="G106" s="395"/>
      <c r="H106" s="395"/>
      <c r="I106" s="395"/>
      <c r="J106" s="395"/>
      <c r="K106" s="395"/>
    </row>
    <row r="107" spans="1:11" ht="16.5">
      <c r="A107" s="383"/>
      <c r="B107" s="393"/>
      <c r="C107" s="394"/>
      <c r="D107" s="394"/>
      <c r="E107" s="395"/>
      <c r="F107" s="395"/>
      <c r="G107" s="395"/>
      <c r="H107" s="395"/>
      <c r="I107" s="395"/>
      <c r="J107" s="395"/>
      <c r="K107" s="395"/>
    </row>
    <row r="108" spans="1:11" ht="16.5">
      <c r="A108" s="383"/>
      <c r="B108" s="393"/>
      <c r="C108" s="394"/>
      <c r="D108" s="394"/>
      <c r="E108" s="395"/>
      <c r="F108" s="395"/>
      <c r="G108" s="395"/>
      <c r="H108" s="395"/>
      <c r="I108" s="395"/>
      <c r="J108" s="395"/>
      <c r="K108" s="395"/>
    </row>
    <row r="109" spans="1:11" ht="16.5">
      <c r="A109" s="383"/>
      <c r="B109" s="393"/>
      <c r="C109" s="394"/>
      <c r="D109" s="394"/>
      <c r="E109" s="395"/>
      <c r="F109" s="395"/>
      <c r="G109" s="395"/>
      <c r="H109" s="395"/>
      <c r="I109" s="395"/>
      <c r="J109" s="395"/>
      <c r="K109" s="395"/>
    </row>
    <row r="110" spans="1:11" ht="16.5">
      <c r="A110" s="383"/>
      <c r="B110" s="393"/>
      <c r="C110" s="394"/>
      <c r="D110" s="394"/>
      <c r="E110" s="395"/>
      <c r="F110" s="395"/>
      <c r="G110" s="395"/>
      <c r="H110" s="395"/>
      <c r="I110" s="395"/>
      <c r="J110" s="395"/>
      <c r="K110" s="395"/>
    </row>
    <row r="111" spans="1:11" ht="16.5">
      <c r="A111" s="383"/>
      <c r="B111" s="393"/>
      <c r="C111" s="394"/>
      <c r="D111" s="394"/>
      <c r="E111" s="395"/>
      <c r="F111" s="395"/>
      <c r="G111" s="395"/>
      <c r="H111" s="395"/>
      <c r="I111" s="395"/>
      <c r="J111" s="395"/>
      <c r="K111" s="395"/>
    </row>
    <row r="112" spans="1:11" ht="16.5">
      <c r="A112" s="383"/>
      <c r="B112" s="393"/>
      <c r="C112" s="394"/>
      <c r="D112" s="394"/>
      <c r="E112" s="395"/>
      <c r="F112" s="395"/>
      <c r="G112" s="395"/>
      <c r="H112" s="395"/>
      <c r="I112" s="395"/>
      <c r="J112" s="395"/>
      <c r="K112" s="395"/>
    </row>
    <row r="113" spans="1:11" ht="16.5">
      <c r="A113" s="383"/>
      <c r="B113" s="393"/>
      <c r="C113" s="394"/>
      <c r="D113" s="394"/>
      <c r="E113" s="395"/>
      <c r="F113" s="395"/>
      <c r="G113" s="395"/>
      <c r="H113" s="395"/>
      <c r="I113" s="395"/>
      <c r="J113" s="395"/>
      <c r="K113" s="395"/>
    </row>
    <row r="114" spans="1:11" ht="16.5">
      <c r="A114" s="383"/>
      <c r="B114" s="393"/>
      <c r="C114" s="394"/>
      <c r="D114" s="394"/>
      <c r="E114" s="395"/>
      <c r="F114" s="395"/>
      <c r="G114" s="395"/>
      <c r="H114" s="395"/>
      <c r="I114" s="395"/>
      <c r="J114" s="395"/>
      <c r="K114" s="395"/>
    </row>
    <row r="115" spans="1:11" ht="16.5">
      <c r="A115" s="383"/>
      <c r="B115" s="393"/>
      <c r="C115" s="394"/>
      <c r="D115" s="394"/>
      <c r="E115" s="395"/>
      <c r="F115" s="395"/>
      <c r="G115" s="395"/>
      <c r="H115" s="395"/>
      <c r="I115" s="395"/>
      <c r="J115" s="395"/>
      <c r="K115" s="395"/>
    </row>
    <row r="116" spans="1:11" ht="16.5">
      <c r="A116" s="383"/>
      <c r="B116" s="393"/>
      <c r="C116" s="394"/>
      <c r="D116" s="394"/>
      <c r="E116" s="395"/>
      <c r="F116" s="395"/>
      <c r="G116" s="395"/>
      <c r="H116" s="395"/>
      <c r="I116" s="395"/>
      <c r="J116" s="395"/>
      <c r="K116" s="395"/>
    </row>
    <row r="117" spans="1:11" ht="16.5">
      <c r="A117" s="383"/>
      <c r="B117" s="393"/>
      <c r="C117" s="394"/>
      <c r="D117" s="394"/>
      <c r="E117" s="395"/>
      <c r="F117" s="395"/>
      <c r="G117" s="395"/>
      <c r="H117" s="395"/>
      <c r="I117" s="395"/>
      <c r="J117" s="395"/>
      <c r="K117" s="395"/>
    </row>
    <row r="118" spans="1:11" ht="16.5">
      <c r="A118" s="383"/>
      <c r="B118" s="393"/>
      <c r="C118" s="394"/>
      <c r="D118" s="394"/>
      <c r="E118" s="395"/>
      <c r="F118" s="395"/>
      <c r="G118" s="395"/>
      <c r="H118" s="395"/>
      <c r="I118" s="395"/>
      <c r="J118" s="395"/>
      <c r="K118" s="395"/>
    </row>
    <row r="119" spans="1:11" ht="16.5">
      <c r="A119" s="383"/>
      <c r="B119" s="393"/>
      <c r="C119" s="394"/>
      <c r="D119" s="394"/>
      <c r="E119" s="395"/>
      <c r="F119" s="395"/>
      <c r="G119" s="395"/>
      <c r="H119" s="395"/>
      <c r="I119" s="395"/>
      <c r="J119" s="395"/>
      <c r="K119" s="395"/>
    </row>
    <row r="120" spans="1:11" ht="16.5">
      <c r="A120" s="383"/>
      <c r="B120" s="393"/>
      <c r="C120" s="394"/>
      <c r="D120" s="394"/>
      <c r="E120" s="395"/>
      <c r="F120" s="395"/>
      <c r="G120" s="395"/>
      <c r="H120" s="395"/>
      <c r="I120" s="395"/>
      <c r="J120" s="395"/>
      <c r="K120" s="395"/>
    </row>
    <row r="121" spans="1:11" ht="16.5">
      <c r="A121" s="383"/>
      <c r="B121" s="393"/>
      <c r="C121" s="394"/>
      <c r="D121" s="394"/>
      <c r="E121" s="395"/>
      <c r="F121" s="395"/>
      <c r="G121" s="395"/>
      <c r="H121" s="395"/>
      <c r="I121" s="395"/>
      <c r="J121" s="395"/>
      <c r="K121" s="395"/>
    </row>
    <row r="122" spans="1:11" ht="16.5">
      <c r="A122" s="383"/>
      <c r="B122" s="393"/>
      <c r="C122" s="394"/>
      <c r="D122" s="394"/>
      <c r="E122" s="395"/>
      <c r="F122" s="395"/>
      <c r="G122" s="395"/>
      <c r="H122" s="395"/>
      <c r="I122" s="395"/>
      <c r="J122" s="395"/>
      <c r="K122" s="395"/>
    </row>
    <row r="123" spans="1:11" ht="16.5">
      <c r="A123" s="383"/>
      <c r="B123" s="393"/>
      <c r="C123" s="394"/>
      <c r="D123" s="394"/>
      <c r="E123" s="395"/>
      <c r="F123" s="395"/>
      <c r="G123" s="395"/>
      <c r="H123" s="395"/>
      <c r="I123" s="395"/>
      <c r="J123" s="395"/>
      <c r="K123" s="395"/>
    </row>
    <row r="124" spans="1:11" ht="16.5">
      <c r="A124" s="383"/>
      <c r="B124" s="393"/>
      <c r="C124" s="394"/>
      <c r="D124" s="394"/>
      <c r="E124" s="395"/>
      <c r="F124" s="395"/>
      <c r="G124" s="395"/>
      <c r="H124" s="395"/>
      <c r="I124" s="395"/>
      <c r="J124" s="395"/>
      <c r="K124" s="395"/>
    </row>
    <row r="125" spans="1:11" ht="16.5">
      <c r="A125" s="383"/>
      <c r="B125" s="393"/>
      <c r="C125" s="394"/>
      <c r="D125" s="394"/>
      <c r="E125" s="395"/>
      <c r="F125" s="395"/>
      <c r="G125" s="395"/>
      <c r="H125" s="395"/>
      <c r="I125" s="395"/>
      <c r="J125" s="395"/>
      <c r="K125" s="395"/>
    </row>
    <row r="126" spans="1:11" ht="16.5">
      <c r="A126" s="383"/>
      <c r="B126" s="393"/>
      <c r="C126" s="394"/>
      <c r="D126" s="394"/>
      <c r="E126" s="395"/>
      <c r="F126" s="395"/>
      <c r="G126" s="395"/>
      <c r="H126" s="395"/>
      <c r="I126" s="395"/>
      <c r="J126" s="395"/>
      <c r="K126" s="395"/>
    </row>
    <row r="127" spans="1:11" ht="16.5">
      <c r="A127" s="383"/>
      <c r="B127" s="393"/>
      <c r="C127" s="394"/>
      <c r="D127" s="394"/>
      <c r="E127" s="395"/>
      <c r="F127" s="395"/>
      <c r="G127" s="395"/>
      <c r="H127" s="395"/>
      <c r="I127" s="395"/>
      <c r="J127" s="395"/>
      <c r="K127" s="395"/>
    </row>
    <row r="128" spans="1:11" ht="16.5">
      <c r="A128" s="383"/>
      <c r="B128" s="393"/>
      <c r="C128" s="394"/>
      <c r="D128" s="394"/>
      <c r="E128" s="395"/>
      <c r="F128" s="395"/>
      <c r="G128" s="395"/>
      <c r="H128" s="395"/>
      <c r="I128" s="395"/>
      <c r="J128" s="395"/>
      <c r="K128" s="395"/>
    </row>
    <row r="129" spans="1:11" ht="16.5">
      <c r="A129" s="383"/>
      <c r="B129" s="393"/>
      <c r="C129" s="394"/>
      <c r="D129" s="394"/>
      <c r="E129" s="395"/>
      <c r="F129" s="395"/>
      <c r="G129" s="395"/>
      <c r="H129" s="395"/>
      <c r="I129" s="395"/>
      <c r="J129" s="395"/>
      <c r="K129" s="395"/>
    </row>
    <row r="130" spans="1:11" ht="16.5">
      <c r="A130" s="383"/>
      <c r="B130" s="393"/>
      <c r="C130" s="394"/>
      <c r="D130" s="394"/>
      <c r="E130" s="395"/>
      <c r="F130" s="395"/>
      <c r="G130" s="395"/>
      <c r="H130" s="395"/>
      <c r="I130" s="395"/>
      <c r="J130" s="395"/>
      <c r="K130" s="395"/>
    </row>
    <row r="131" spans="1:11" ht="16.5">
      <c r="A131" s="383"/>
      <c r="B131" s="393"/>
      <c r="C131" s="394"/>
      <c r="D131" s="394"/>
      <c r="E131" s="395"/>
      <c r="F131" s="395"/>
      <c r="G131" s="395"/>
      <c r="H131" s="395"/>
      <c r="I131" s="395"/>
      <c r="J131" s="395"/>
      <c r="K131" s="395"/>
    </row>
    <row r="132" spans="1:11" ht="16.5">
      <c r="A132" s="383"/>
      <c r="B132" s="393"/>
      <c r="C132" s="394"/>
      <c r="D132" s="394"/>
      <c r="E132" s="395"/>
      <c r="F132" s="395"/>
      <c r="G132" s="395"/>
      <c r="H132" s="395"/>
      <c r="I132" s="395"/>
      <c r="J132" s="395"/>
      <c r="K132" s="395"/>
    </row>
    <row r="133" spans="1:11" ht="16.5">
      <c r="A133" s="383"/>
      <c r="B133" s="393"/>
      <c r="C133" s="394"/>
      <c r="D133" s="394"/>
      <c r="E133" s="395"/>
      <c r="F133" s="395"/>
      <c r="G133" s="395"/>
      <c r="H133" s="395"/>
      <c r="I133" s="395"/>
      <c r="J133" s="395"/>
      <c r="K133" s="395"/>
    </row>
    <row r="134" spans="1:11" ht="16.5">
      <c r="A134" s="383"/>
      <c r="B134" s="393"/>
      <c r="C134" s="394"/>
      <c r="D134" s="394"/>
      <c r="E134" s="395"/>
      <c r="F134" s="395"/>
      <c r="G134" s="395"/>
      <c r="H134" s="395"/>
      <c r="I134" s="395"/>
      <c r="J134" s="395"/>
      <c r="K134" s="395"/>
    </row>
    <row r="135" spans="1:11" ht="16.5">
      <c r="A135" s="383"/>
      <c r="B135" s="393"/>
      <c r="C135" s="394"/>
      <c r="D135" s="394"/>
      <c r="E135" s="395"/>
      <c r="F135" s="395"/>
      <c r="G135" s="395"/>
      <c r="H135" s="395"/>
      <c r="I135" s="395"/>
      <c r="J135" s="395"/>
      <c r="K135" s="395"/>
    </row>
    <row r="136" spans="1:11" ht="16.5">
      <c r="A136" s="383"/>
      <c r="B136" s="393"/>
      <c r="C136" s="394"/>
      <c r="D136" s="394"/>
      <c r="E136" s="395"/>
      <c r="F136" s="395"/>
      <c r="G136" s="395"/>
      <c r="H136" s="395"/>
      <c r="I136" s="395"/>
      <c r="J136" s="395"/>
      <c r="K136" s="395"/>
    </row>
    <row r="137" spans="1:11" ht="16.5">
      <c r="A137" s="383"/>
      <c r="B137" s="393"/>
      <c r="C137" s="394"/>
      <c r="D137" s="394"/>
      <c r="E137" s="395"/>
      <c r="F137" s="395"/>
      <c r="G137" s="395"/>
      <c r="H137" s="395"/>
      <c r="I137" s="395"/>
      <c r="J137" s="395"/>
      <c r="K137" s="395"/>
    </row>
    <row r="138" spans="1:11" ht="16.5">
      <c r="A138" s="383"/>
      <c r="B138" s="393"/>
      <c r="C138" s="394"/>
      <c r="D138" s="394"/>
      <c r="E138" s="395"/>
      <c r="F138" s="395"/>
      <c r="G138" s="395"/>
      <c r="H138" s="395"/>
      <c r="I138" s="395"/>
      <c r="J138" s="395"/>
      <c r="K138" s="395"/>
    </row>
    <row r="139" spans="1:11" ht="16.5">
      <c r="A139" s="383"/>
      <c r="B139" s="393"/>
      <c r="C139" s="394"/>
      <c r="D139" s="394"/>
      <c r="E139" s="395"/>
      <c r="F139" s="395"/>
      <c r="G139" s="395"/>
      <c r="H139" s="395"/>
      <c r="I139" s="395"/>
      <c r="J139" s="395"/>
      <c r="K139" s="395"/>
    </row>
    <row r="140" spans="1:11" ht="16.5">
      <c r="A140" s="383"/>
      <c r="B140" s="393"/>
      <c r="C140" s="394"/>
      <c r="D140" s="394"/>
      <c r="E140" s="395"/>
      <c r="F140" s="395"/>
      <c r="G140" s="395"/>
      <c r="H140" s="395"/>
      <c r="I140" s="395"/>
      <c r="J140" s="395"/>
      <c r="K140" s="395"/>
    </row>
    <row r="141" spans="1:11" ht="16.5">
      <c r="A141" s="383"/>
      <c r="B141" s="393"/>
      <c r="C141" s="394"/>
      <c r="D141" s="394"/>
      <c r="E141" s="395"/>
      <c r="F141" s="395"/>
      <c r="G141" s="395"/>
      <c r="H141" s="395"/>
      <c r="I141" s="395"/>
      <c r="J141" s="395"/>
      <c r="K141" s="395"/>
    </row>
    <row r="142" spans="1:11" ht="16.5">
      <c r="A142" s="383"/>
      <c r="B142" s="393"/>
      <c r="C142" s="394"/>
      <c r="D142" s="394"/>
      <c r="E142" s="395"/>
      <c r="F142" s="395"/>
      <c r="G142" s="395"/>
      <c r="H142" s="395"/>
      <c r="I142" s="395"/>
      <c r="J142" s="395"/>
      <c r="K142" s="395"/>
    </row>
    <row r="143" spans="1:11" ht="16.5">
      <c r="A143" s="383"/>
      <c r="B143" s="393"/>
      <c r="C143" s="394"/>
      <c r="D143" s="394"/>
      <c r="E143" s="395"/>
      <c r="F143" s="395"/>
      <c r="G143" s="395"/>
      <c r="H143" s="395"/>
      <c r="I143" s="395"/>
      <c r="J143" s="395"/>
      <c r="K143" s="395"/>
    </row>
    <row r="144" spans="1:11" ht="16.5">
      <c r="A144" s="383"/>
      <c r="B144" s="393"/>
      <c r="C144" s="394"/>
      <c r="D144" s="394"/>
      <c r="E144" s="395"/>
      <c r="F144" s="395"/>
      <c r="G144" s="395"/>
      <c r="H144" s="395"/>
      <c r="I144" s="395"/>
      <c r="J144" s="395"/>
      <c r="K144" s="395"/>
    </row>
    <row r="145" spans="1:11" ht="16.5">
      <c r="A145" s="383"/>
      <c r="B145" s="393"/>
      <c r="C145" s="394"/>
      <c r="D145" s="394"/>
      <c r="E145" s="395"/>
      <c r="F145" s="395"/>
      <c r="G145" s="395"/>
      <c r="H145" s="395"/>
      <c r="I145" s="395"/>
      <c r="J145" s="395"/>
      <c r="K145" s="395"/>
    </row>
    <row r="146" spans="1:11" ht="16.5">
      <c r="A146" s="383"/>
      <c r="B146" s="393"/>
      <c r="C146" s="394"/>
      <c r="D146" s="394"/>
      <c r="E146" s="395"/>
      <c r="F146" s="395"/>
      <c r="G146" s="395"/>
      <c r="H146" s="395"/>
      <c r="I146" s="395"/>
      <c r="J146" s="395"/>
      <c r="K146" s="395"/>
    </row>
    <row r="147" spans="1:11" ht="16.5">
      <c r="A147" s="383"/>
      <c r="B147" s="393"/>
      <c r="C147" s="394"/>
      <c r="D147" s="394"/>
      <c r="E147" s="395"/>
      <c r="F147" s="395"/>
      <c r="G147" s="395"/>
      <c r="H147" s="395"/>
      <c r="I147" s="395"/>
      <c r="J147" s="395"/>
      <c r="K147" s="395"/>
    </row>
    <row r="148" spans="1:11" ht="16.5">
      <c r="A148" s="383"/>
      <c r="B148" s="393"/>
      <c r="C148" s="394"/>
      <c r="D148" s="394"/>
      <c r="E148" s="395"/>
      <c r="F148" s="395"/>
      <c r="G148" s="395"/>
      <c r="H148" s="395"/>
      <c r="I148" s="395"/>
      <c r="J148" s="395"/>
      <c r="K148" s="395"/>
    </row>
    <row r="149" spans="1:11" ht="16.5">
      <c r="A149" s="383"/>
      <c r="B149" s="393"/>
      <c r="C149" s="394"/>
      <c r="D149" s="394"/>
      <c r="E149" s="395"/>
      <c r="F149" s="395"/>
      <c r="G149" s="395"/>
      <c r="H149" s="395"/>
      <c r="I149" s="395"/>
      <c r="J149" s="395"/>
      <c r="K149" s="395"/>
    </row>
    <row r="150" spans="1:11" ht="16.5">
      <c r="A150" s="383"/>
      <c r="B150" s="393"/>
      <c r="C150" s="394"/>
      <c r="D150" s="394"/>
      <c r="E150" s="395"/>
      <c r="F150" s="395"/>
      <c r="G150" s="395"/>
      <c r="H150" s="395"/>
      <c r="I150" s="395"/>
      <c r="J150" s="395"/>
      <c r="K150" s="395"/>
    </row>
    <row r="151" spans="1:11" ht="16.5">
      <c r="A151" s="383"/>
      <c r="B151" s="393"/>
      <c r="C151" s="394"/>
      <c r="D151" s="394"/>
      <c r="E151" s="395"/>
      <c r="F151" s="395"/>
      <c r="G151" s="395"/>
      <c r="H151" s="395"/>
      <c r="I151" s="395"/>
      <c r="J151" s="395"/>
      <c r="K151" s="395"/>
    </row>
    <row r="152" spans="1:11" ht="16.5">
      <c r="A152" s="383"/>
      <c r="B152" s="393"/>
      <c r="C152" s="394"/>
      <c r="D152" s="394"/>
      <c r="E152" s="395"/>
      <c r="F152" s="395"/>
      <c r="G152" s="395"/>
      <c r="H152" s="395"/>
      <c r="I152" s="395"/>
      <c r="J152" s="395"/>
      <c r="K152" s="395"/>
    </row>
    <row r="153" spans="1:11" ht="16.5">
      <c r="A153" s="383"/>
      <c r="B153" s="393"/>
      <c r="C153" s="394"/>
      <c r="D153" s="394"/>
      <c r="E153" s="395"/>
      <c r="F153" s="395"/>
      <c r="G153" s="395"/>
      <c r="H153" s="395"/>
      <c r="I153" s="395"/>
      <c r="J153" s="395"/>
      <c r="K153" s="395"/>
    </row>
    <row r="154" spans="1:11" ht="16.5">
      <c r="A154" s="383"/>
      <c r="B154" s="393"/>
      <c r="C154" s="394"/>
      <c r="D154" s="394"/>
      <c r="E154" s="395"/>
      <c r="F154" s="395"/>
      <c r="G154" s="395"/>
      <c r="H154" s="395"/>
      <c r="I154" s="395"/>
      <c r="J154" s="395"/>
      <c r="K154" s="395"/>
    </row>
    <row r="155" spans="1:11" ht="16.5">
      <c r="A155" s="383"/>
      <c r="B155" s="393"/>
      <c r="C155" s="394"/>
      <c r="D155" s="394"/>
      <c r="E155" s="395"/>
      <c r="F155" s="395"/>
      <c r="G155" s="395"/>
      <c r="H155" s="395"/>
      <c r="I155" s="395"/>
      <c r="J155" s="395"/>
      <c r="K155" s="395"/>
    </row>
    <row r="156" spans="1:11" ht="16.5">
      <c r="A156" s="383"/>
      <c r="B156" s="393"/>
      <c r="C156" s="394"/>
      <c r="D156" s="394"/>
      <c r="E156" s="395"/>
      <c r="F156" s="395"/>
      <c r="G156" s="395"/>
      <c r="H156" s="395"/>
      <c r="I156" s="395"/>
      <c r="J156" s="395"/>
      <c r="K156" s="395"/>
    </row>
    <row r="157" spans="1:11" ht="16.5">
      <c r="A157" s="383"/>
      <c r="B157" s="393"/>
      <c r="C157" s="394"/>
      <c r="D157" s="394"/>
      <c r="E157" s="395"/>
      <c r="F157" s="395"/>
      <c r="G157" s="395"/>
      <c r="H157" s="395"/>
      <c r="I157" s="395"/>
      <c r="J157" s="395"/>
      <c r="K157" s="395"/>
    </row>
    <row r="158" spans="1:11" ht="16.5">
      <c r="A158" s="383"/>
      <c r="B158" s="393"/>
      <c r="C158" s="394"/>
      <c r="D158" s="394"/>
      <c r="E158" s="395"/>
      <c r="F158" s="395"/>
      <c r="G158" s="395"/>
      <c r="H158" s="395"/>
      <c r="I158" s="395"/>
      <c r="J158" s="395"/>
      <c r="K158" s="395"/>
    </row>
    <row r="159" spans="1:11" ht="16.5">
      <c r="A159" s="383"/>
      <c r="B159" s="393"/>
      <c r="C159" s="394"/>
      <c r="D159" s="394"/>
      <c r="E159" s="395"/>
      <c r="F159" s="395"/>
      <c r="G159" s="395"/>
      <c r="H159" s="395"/>
      <c r="I159" s="395"/>
      <c r="J159" s="395"/>
      <c r="K159" s="395"/>
    </row>
    <row r="160" spans="1:11" ht="16.5">
      <c r="A160" s="383"/>
      <c r="B160" s="393"/>
      <c r="C160" s="394"/>
      <c r="D160" s="394"/>
      <c r="E160" s="395"/>
      <c r="F160" s="395"/>
      <c r="G160" s="395"/>
      <c r="H160" s="395"/>
      <c r="I160" s="395"/>
      <c r="J160" s="395"/>
      <c r="K160" s="395"/>
    </row>
    <row r="161" spans="1:11" ht="16.5">
      <c r="A161" s="383"/>
      <c r="B161" s="393"/>
      <c r="C161" s="394"/>
      <c r="D161" s="394"/>
      <c r="E161" s="395"/>
      <c r="F161" s="395"/>
      <c r="G161" s="395"/>
      <c r="H161" s="395"/>
      <c r="I161" s="395"/>
      <c r="J161" s="395"/>
      <c r="K161" s="395"/>
    </row>
    <row r="162" spans="1:11" ht="16.5">
      <c r="A162" s="383"/>
      <c r="B162" s="393"/>
      <c r="C162" s="394"/>
      <c r="D162" s="394"/>
      <c r="E162" s="395"/>
      <c r="F162" s="395"/>
      <c r="G162" s="395"/>
      <c r="H162" s="395"/>
      <c r="I162" s="395"/>
      <c r="J162" s="395"/>
      <c r="K162" s="395"/>
    </row>
    <row r="163" spans="1:11" ht="16.5">
      <c r="A163" s="383"/>
      <c r="B163" s="393"/>
      <c r="C163" s="394"/>
      <c r="D163" s="394"/>
      <c r="E163" s="395"/>
      <c r="F163" s="395"/>
      <c r="G163" s="395"/>
      <c r="H163" s="395"/>
      <c r="I163" s="395"/>
      <c r="J163" s="395"/>
      <c r="K163" s="395"/>
    </row>
    <row r="164" spans="1:11" ht="16.5">
      <c r="A164" s="383"/>
      <c r="B164" s="393"/>
      <c r="C164" s="394"/>
      <c r="D164" s="394"/>
      <c r="E164" s="395"/>
      <c r="F164" s="395"/>
      <c r="G164" s="395"/>
      <c r="H164" s="395"/>
      <c r="I164" s="395"/>
      <c r="J164" s="395"/>
      <c r="K164" s="395"/>
    </row>
    <row r="165" spans="1:11" ht="16.5">
      <c r="A165" s="383"/>
      <c r="B165" s="393"/>
      <c r="C165" s="394"/>
      <c r="D165" s="394"/>
      <c r="E165" s="395"/>
      <c r="F165" s="395"/>
      <c r="G165" s="395"/>
      <c r="H165" s="395"/>
      <c r="I165" s="395"/>
      <c r="J165" s="395"/>
      <c r="K165" s="395"/>
    </row>
    <row r="166" spans="1:11" ht="16.5">
      <c r="A166" s="383"/>
      <c r="B166" s="393"/>
      <c r="C166" s="394"/>
      <c r="D166" s="394"/>
      <c r="E166" s="395"/>
      <c r="F166" s="395"/>
      <c r="G166" s="395"/>
      <c r="H166" s="395"/>
      <c r="I166" s="395"/>
      <c r="J166" s="395"/>
      <c r="K166" s="395"/>
    </row>
    <row r="167" spans="1:11" ht="16.5">
      <c r="A167" s="383"/>
      <c r="B167" s="393"/>
      <c r="C167" s="394"/>
      <c r="D167" s="394"/>
      <c r="E167" s="395"/>
      <c r="F167" s="395"/>
      <c r="G167" s="395"/>
      <c r="H167" s="395"/>
      <c r="I167" s="395"/>
      <c r="J167" s="395"/>
      <c r="K167" s="395"/>
    </row>
    <row r="168" spans="1:11" ht="16.5">
      <c r="A168" s="383"/>
      <c r="B168" s="393"/>
      <c r="C168" s="394"/>
      <c r="D168" s="394"/>
      <c r="E168" s="395"/>
      <c r="F168" s="395"/>
      <c r="G168" s="395"/>
      <c r="H168" s="395"/>
      <c r="I168" s="395"/>
      <c r="J168" s="395"/>
      <c r="K168" s="395"/>
    </row>
    <row r="169" spans="1:11" ht="16.5">
      <c r="A169" s="383"/>
      <c r="B169" s="393"/>
      <c r="C169" s="394"/>
      <c r="D169" s="394"/>
      <c r="E169" s="395"/>
      <c r="F169" s="395"/>
      <c r="G169" s="395"/>
      <c r="H169" s="395"/>
      <c r="I169" s="395"/>
      <c r="J169" s="395"/>
      <c r="K169" s="395"/>
    </row>
    <row r="170" spans="1:11" ht="16.5">
      <c r="A170" s="383"/>
      <c r="B170" s="393"/>
      <c r="C170" s="394"/>
      <c r="D170" s="394"/>
      <c r="E170" s="395"/>
      <c r="F170" s="395"/>
      <c r="G170" s="395"/>
      <c r="H170" s="395"/>
      <c r="I170" s="395"/>
      <c r="J170" s="395"/>
      <c r="K170" s="395"/>
    </row>
    <row r="171" spans="1:11" ht="16.5">
      <c r="A171" s="383"/>
      <c r="B171" s="393"/>
      <c r="C171" s="394"/>
      <c r="D171" s="394"/>
      <c r="E171" s="395"/>
      <c r="F171" s="395"/>
      <c r="G171" s="395"/>
      <c r="H171" s="395"/>
      <c r="I171" s="395"/>
      <c r="J171" s="395"/>
      <c r="K171" s="395"/>
    </row>
    <row r="172" spans="1:11" ht="16.5">
      <c r="A172" s="383"/>
      <c r="B172" s="393"/>
      <c r="C172" s="394"/>
      <c r="D172" s="394"/>
      <c r="E172" s="395"/>
      <c r="F172" s="395"/>
      <c r="G172" s="395"/>
      <c r="H172" s="395"/>
      <c r="I172" s="395"/>
      <c r="J172" s="395"/>
      <c r="K172" s="395"/>
    </row>
    <row r="173" spans="1:11" ht="16.5">
      <c r="A173" s="383"/>
      <c r="B173" s="393"/>
      <c r="C173" s="394"/>
      <c r="D173" s="394"/>
      <c r="E173" s="395"/>
      <c r="F173" s="395"/>
      <c r="G173" s="395"/>
      <c r="H173" s="395"/>
      <c r="I173" s="395"/>
      <c r="J173" s="395"/>
      <c r="K173" s="395"/>
    </row>
    <row r="174" spans="1:11" ht="16.5">
      <c r="A174" s="383"/>
      <c r="B174" s="393"/>
      <c r="C174" s="394"/>
      <c r="D174" s="394"/>
      <c r="E174" s="395"/>
      <c r="F174" s="395"/>
      <c r="G174" s="395"/>
      <c r="H174" s="395"/>
      <c r="I174" s="395"/>
      <c r="J174" s="395"/>
      <c r="K174" s="395"/>
    </row>
    <row r="175" spans="1:11" ht="16.5">
      <c r="A175" s="383"/>
      <c r="B175" s="393"/>
      <c r="C175" s="394"/>
      <c r="D175" s="394"/>
      <c r="E175" s="395"/>
      <c r="F175" s="395"/>
      <c r="G175" s="395"/>
      <c r="H175" s="395"/>
      <c r="I175" s="395"/>
      <c r="J175" s="395"/>
      <c r="K175" s="395"/>
    </row>
    <row r="176" spans="1:11" ht="16.5">
      <c r="A176" s="383"/>
      <c r="B176" s="393"/>
      <c r="C176" s="394"/>
      <c r="D176" s="394"/>
      <c r="E176" s="395"/>
      <c r="F176" s="395"/>
      <c r="G176" s="395"/>
      <c r="H176" s="395"/>
      <c r="I176" s="395"/>
      <c r="J176" s="395"/>
      <c r="K176" s="395"/>
    </row>
    <row r="177" spans="1:11" ht="16.5">
      <c r="A177" s="383"/>
      <c r="B177" s="393"/>
      <c r="C177" s="394"/>
      <c r="D177" s="394"/>
      <c r="E177" s="395"/>
      <c r="F177" s="395"/>
      <c r="G177" s="395"/>
      <c r="H177" s="395"/>
      <c r="I177" s="395"/>
      <c r="J177" s="395"/>
      <c r="K177" s="395"/>
    </row>
    <row r="178" spans="1:11" ht="16.5">
      <c r="A178" s="383"/>
      <c r="B178" s="393"/>
      <c r="C178" s="394"/>
      <c r="D178" s="394"/>
      <c r="E178" s="395"/>
      <c r="F178" s="395"/>
      <c r="G178" s="395"/>
      <c r="H178" s="395"/>
      <c r="I178" s="395"/>
      <c r="J178" s="395"/>
      <c r="K178" s="395"/>
    </row>
    <row r="179" spans="1:11" ht="16.5">
      <c r="A179" s="383"/>
      <c r="B179" s="393"/>
      <c r="C179" s="394"/>
      <c r="D179" s="394"/>
      <c r="E179" s="395"/>
      <c r="F179" s="395"/>
      <c r="G179" s="395"/>
      <c r="H179" s="395"/>
      <c r="I179" s="395"/>
      <c r="J179" s="395"/>
      <c r="K179" s="395"/>
    </row>
    <row r="180" spans="1:11" ht="16.5">
      <c r="A180" s="383"/>
      <c r="B180" s="393"/>
      <c r="C180" s="394"/>
      <c r="D180" s="394"/>
      <c r="E180" s="395"/>
      <c r="F180" s="395"/>
      <c r="G180" s="395"/>
      <c r="H180" s="395"/>
      <c r="I180" s="395"/>
      <c r="J180" s="395"/>
      <c r="K180" s="395"/>
    </row>
    <row r="181" spans="1:11" ht="16.5">
      <c r="A181" s="383"/>
      <c r="B181" s="393"/>
      <c r="C181" s="394"/>
      <c r="D181" s="394"/>
      <c r="E181" s="395"/>
      <c r="F181" s="395"/>
      <c r="G181" s="395"/>
      <c r="H181" s="395"/>
      <c r="I181" s="395"/>
      <c r="J181" s="395"/>
      <c r="K181" s="395"/>
    </row>
    <row r="182" spans="1:11" ht="16.5">
      <c r="A182" s="383"/>
      <c r="B182" s="393"/>
      <c r="C182" s="394"/>
      <c r="D182" s="394"/>
      <c r="E182" s="395"/>
      <c r="F182" s="395"/>
      <c r="G182" s="395"/>
      <c r="H182" s="395"/>
      <c r="I182" s="395"/>
      <c r="J182" s="395"/>
      <c r="K182" s="395"/>
    </row>
    <row r="183" spans="1:11" ht="16.5">
      <c r="A183" s="383"/>
      <c r="B183" s="393"/>
      <c r="C183" s="394"/>
      <c r="D183" s="394"/>
      <c r="E183" s="395"/>
      <c r="F183" s="395"/>
      <c r="G183" s="395"/>
      <c r="H183" s="395"/>
      <c r="I183" s="395"/>
      <c r="J183" s="395"/>
      <c r="K183" s="395"/>
    </row>
    <row r="184" spans="1:11" ht="16.5">
      <c r="A184" s="383"/>
      <c r="B184" s="393"/>
      <c r="C184" s="394"/>
      <c r="D184" s="394"/>
      <c r="E184" s="395"/>
      <c r="F184" s="395"/>
      <c r="G184" s="395"/>
      <c r="H184" s="395"/>
      <c r="I184" s="395"/>
      <c r="J184" s="395"/>
      <c r="K184" s="395"/>
    </row>
    <row r="185" spans="1:11" ht="16.5">
      <c r="A185" s="383"/>
      <c r="B185" s="393"/>
      <c r="C185" s="394"/>
      <c r="D185" s="394"/>
      <c r="E185" s="395"/>
      <c r="F185" s="395"/>
      <c r="G185" s="395"/>
      <c r="H185" s="395"/>
      <c r="I185" s="395"/>
      <c r="J185" s="395"/>
      <c r="K185" s="395"/>
    </row>
    <row r="186" spans="1:11" ht="16.5">
      <c r="A186" s="383"/>
      <c r="B186" s="393"/>
      <c r="C186" s="394"/>
      <c r="D186" s="394"/>
      <c r="E186" s="395"/>
      <c r="F186" s="395"/>
      <c r="G186" s="395"/>
      <c r="H186" s="395"/>
      <c r="I186" s="395"/>
      <c r="J186" s="395"/>
      <c r="K186" s="395"/>
    </row>
    <row r="187" spans="1:11" ht="16.5">
      <c r="A187" s="383"/>
      <c r="B187" s="393"/>
      <c r="C187" s="394"/>
      <c r="D187" s="394"/>
      <c r="E187" s="395"/>
      <c r="F187" s="395"/>
      <c r="G187" s="395"/>
      <c r="H187" s="395"/>
      <c r="I187" s="395"/>
      <c r="J187" s="395"/>
      <c r="K187" s="395"/>
    </row>
    <row r="188" spans="1:11" ht="16.5">
      <c r="A188" s="383"/>
      <c r="B188" s="393"/>
      <c r="C188" s="394"/>
      <c r="D188" s="394"/>
      <c r="E188" s="395"/>
      <c r="F188" s="395"/>
      <c r="G188" s="395"/>
      <c r="H188" s="395"/>
      <c r="I188" s="395"/>
      <c r="J188" s="395"/>
      <c r="K188" s="395"/>
    </row>
    <row r="189" spans="1:11" ht="16.5">
      <c r="A189" s="383"/>
      <c r="B189" s="393"/>
      <c r="C189" s="394"/>
      <c r="D189" s="394"/>
      <c r="E189" s="395"/>
      <c r="F189" s="395"/>
      <c r="G189" s="395"/>
      <c r="H189" s="395"/>
      <c r="I189" s="395"/>
      <c r="J189" s="395"/>
      <c r="K189" s="395"/>
    </row>
    <row r="190" spans="1:11" ht="16.5">
      <c r="A190" s="383"/>
      <c r="B190" s="393"/>
      <c r="C190" s="394"/>
      <c r="D190" s="394"/>
      <c r="E190" s="395"/>
      <c r="F190" s="395"/>
      <c r="G190" s="395"/>
      <c r="H190" s="395"/>
      <c r="I190" s="395"/>
      <c r="J190" s="395"/>
      <c r="K190" s="395"/>
    </row>
    <row r="191" spans="1:11" ht="16.5">
      <c r="A191" s="383"/>
      <c r="B191" s="393"/>
      <c r="C191" s="394"/>
      <c r="D191" s="394"/>
      <c r="E191" s="395"/>
      <c r="F191" s="395"/>
      <c r="G191" s="395"/>
      <c r="H191" s="395"/>
      <c r="I191" s="395"/>
      <c r="J191" s="395"/>
      <c r="K191" s="395"/>
    </row>
    <row r="192" spans="1:11" ht="16.5">
      <c r="A192" s="383"/>
      <c r="B192" s="393"/>
      <c r="C192" s="394"/>
      <c r="D192" s="394"/>
      <c r="E192" s="395"/>
      <c r="F192" s="395"/>
      <c r="G192" s="395"/>
      <c r="H192" s="395"/>
      <c r="I192" s="395"/>
      <c r="J192" s="395"/>
      <c r="K192" s="395"/>
    </row>
    <row r="193" spans="1:11" ht="16.5">
      <c r="A193" s="383"/>
      <c r="B193" s="393"/>
      <c r="C193" s="394"/>
      <c r="D193" s="394"/>
      <c r="E193" s="395"/>
      <c r="F193" s="395"/>
      <c r="G193" s="395"/>
      <c r="H193" s="395"/>
      <c r="I193" s="395"/>
      <c r="J193" s="395"/>
      <c r="K193" s="395"/>
    </row>
    <row r="194" spans="1:11" ht="16.5">
      <c r="A194" s="383"/>
      <c r="B194" s="393"/>
      <c r="C194" s="394"/>
      <c r="D194" s="394"/>
      <c r="E194" s="395"/>
      <c r="F194" s="395"/>
      <c r="G194" s="395"/>
      <c r="H194" s="395"/>
      <c r="I194" s="395"/>
      <c r="J194" s="395"/>
      <c r="K194" s="395"/>
    </row>
    <row r="195" spans="1:11" ht="16.5">
      <c r="A195" s="383"/>
      <c r="B195" s="393"/>
      <c r="C195" s="394"/>
      <c r="D195" s="394"/>
      <c r="E195" s="395"/>
      <c r="F195" s="395"/>
      <c r="G195" s="395"/>
      <c r="H195" s="395"/>
      <c r="I195" s="395"/>
      <c r="J195" s="395"/>
      <c r="K195" s="395"/>
    </row>
    <row r="196" spans="1:11" ht="16.5">
      <c r="A196" s="383"/>
      <c r="B196" s="393"/>
      <c r="C196" s="394"/>
      <c r="D196" s="394"/>
      <c r="E196" s="395"/>
      <c r="F196" s="395"/>
      <c r="G196" s="395"/>
      <c r="H196" s="395"/>
      <c r="I196" s="395"/>
      <c r="J196" s="395"/>
      <c r="K196" s="395"/>
    </row>
    <row r="197" spans="1:11" ht="16.5">
      <c r="A197" s="383"/>
      <c r="B197" s="393"/>
      <c r="C197" s="394"/>
      <c r="D197" s="394"/>
      <c r="E197" s="395"/>
      <c r="F197" s="395"/>
      <c r="G197" s="395"/>
      <c r="H197" s="395"/>
      <c r="I197" s="395"/>
      <c r="J197" s="395"/>
      <c r="K197" s="395"/>
    </row>
    <row r="198" spans="1:11" ht="16.5">
      <c r="A198" s="383"/>
      <c r="B198" s="393"/>
      <c r="C198" s="394"/>
      <c r="D198" s="394"/>
      <c r="E198" s="395"/>
      <c r="F198" s="395"/>
      <c r="G198" s="395"/>
      <c r="H198" s="395"/>
      <c r="I198" s="395"/>
      <c r="J198" s="395"/>
      <c r="K198" s="395"/>
    </row>
    <row r="199" spans="1:11" ht="16.5">
      <c r="A199" s="383"/>
      <c r="B199" s="393"/>
      <c r="C199" s="394"/>
      <c r="D199" s="394"/>
      <c r="E199" s="395"/>
      <c r="F199" s="395"/>
      <c r="G199" s="395"/>
      <c r="H199" s="395"/>
      <c r="I199" s="395"/>
      <c r="J199" s="395"/>
      <c r="K199" s="395"/>
    </row>
    <row r="200" spans="1:11" ht="16.5">
      <c r="A200" s="383"/>
      <c r="B200" s="393"/>
      <c r="C200" s="394"/>
      <c r="D200" s="394"/>
      <c r="E200" s="395"/>
      <c r="F200" s="395"/>
      <c r="G200" s="395"/>
      <c r="H200" s="395"/>
      <c r="I200" s="395"/>
      <c r="J200" s="395"/>
      <c r="K200" s="395"/>
    </row>
    <row r="201" spans="1:11" ht="16.5">
      <c r="A201" s="383"/>
      <c r="B201" s="393"/>
      <c r="C201" s="394"/>
      <c r="D201" s="394"/>
      <c r="E201" s="395"/>
      <c r="F201" s="395"/>
      <c r="G201" s="395"/>
      <c r="H201" s="395"/>
      <c r="I201" s="395"/>
      <c r="J201" s="395"/>
      <c r="K201" s="395"/>
    </row>
    <row r="202" spans="1:11" ht="16.5">
      <c r="A202" s="383"/>
      <c r="B202" s="393"/>
      <c r="C202" s="394"/>
      <c r="D202" s="394"/>
      <c r="E202" s="395"/>
      <c r="F202" s="395"/>
      <c r="G202" s="395"/>
      <c r="H202" s="395"/>
      <c r="I202" s="395"/>
      <c r="J202" s="395"/>
      <c r="K202" s="395"/>
    </row>
    <row r="203" spans="1:11" ht="16.5">
      <c r="A203" s="383"/>
      <c r="B203" s="393"/>
      <c r="C203" s="394"/>
      <c r="D203" s="394"/>
      <c r="E203" s="395"/>
      <c r="F203" s="395"/>
      <c r="G203" s="395"/>
      <c r="H203" s="395"/>
      <c r="I203" s="395"/>
      <c r="J203" s="395"/>
      <c r="K203" s="395"/>
    </row>
    <row r="204" spans="1:11" ht="16.5">
      <c r="A204" s="383"/>
      <c r="B204" s="393"/>
      <c r="C204" s="394"/>
      <c r="D204" s="394"/>
      <c r="E204" s="395"/>
      <c r="F204" s="395"/>
      <c r="G204" s="395"/>
      <c r="H204" s="395"/>
      <c r="I204" s="395"/>
      <c r="J204" s="395"/>
      <c r="K204" s="395"/>
    </row>
    <row r="205" spans="1:11" ht="16.5">
      <c r="A205" s="383"/>
      <c r="B205" s="393"/>
      <c r="C205" s="394"/>
      <c r="D205" s="394"/>
      <c r="E205" s="395"/>
      <c r="F205" s="395"/>
      <c r="G205" s="395"/>
      <c r="H205" s="395"/>
      <c r="I205" s="395"/>
      <c r="J205" s="395"/>
      <c r="K205" s="395"/>
    </row>
    <row r="206" spans="1:11" ht="16.5">
      <c r="A206" s="383"/>
      <c r="B206" s="393"/>
      <c r="C206" s="394"/>
      <c r="D206" s="394"/>
      <c r="E206" s="395"/>
      <c r="F206" s="395"/>
      <c r="G206" s="395"/>
      <c r="H206" s="395"/>
      <c r="I206" s="395"/>
      <c r="J206" s="395"/>
      <c r="K206" s="395"/>
    </row>
    <row r="207" spans="1:11" ht="16.5">
      <c r="A207" s="383"/>
      <c r="B207" s="393"/>
      <c r="C207" s="394"/>
      <c r="D207" s="394"/>
      <c r="E207" s="395"/>
      <c r="F207" s="395"/>
      <c r="G207" s="395"/>
      <c r="H207" s="395"/>
      <c r="I207" s="395"/>
      <c r="J207" s="395"/>
      <c r="K207" s="395"/>
    </row>
    <row r="208" spans="1:11" ht="16.5">
      <c r="A208" s="383"/>
      <c r="B208" s="393"/>
      <c r="C208" s="394"/>
      <c r="D208" s="394"/>
      <c r="E208" s="395"/>
      <c r="F208" s="395"/>
      <c r="G208" s="395"/>
      <c r="H208" s="395"/>
      <c r="I208" s="395"/>
      <c r="J208" s="395"/>
      <c r="K208" s="395"/>
    </row>
    <row r="209" spans="1:11" ht="16.5">
      <c r="A209" s="383"/>
      <c r="B209" s="393"/>
      <c r="C209" s="394"/>
      <c r="D209" s="394"/>
      <c r="E209" s="395"/>
      <c r="F209" s="395"/>
      <c r="G209" s="395"/>
      <c r="H209" s="395"/>
      <c r="I209" s="395"/>
      <c r="J209" s="395"/>
      <c r="K209" s="395"/>
    </row>
    <row r="210" spans="1:11" ht="16.5">
      <c r="A210" s="383"/>
      <c r="B210" s="393"/>
      <c r="C210" s="394"/>
      <c r="D210" s="394"/>
      <c r="E210" s="395"/>
      <c r="F210" s="395"/>
      <c r="G210" s="395"/>
      <c r="H210" s="395"/>
      <c r="I210" s="395"/>
      <c r="J210" s="395"/>
      <c r="K210" s="395"/>
    </row>
    <row r="211" spans="1:11" ht="16.5">
      <c r="A211" s="383"/>
      <c r="B211" s="393"/>
      <c r="C211" s="394"/>
      <c r="D211" s="394"/>
      <c r="E211" s="395"/>
      <c r="F211" s="395"/>
      <c r="G211" s="395"/>
      <c r="H211" s="395"/>
      <c r="I211" s="395"/>
      <c r="J211" s="395"/>
      <c r="K211" s="395"/>
    </row>
    <row r="212" spans="1:11" ht="16.5">
      <c r="A212" s="383"/>
      <c r="B212" s="393"/>
      <c r="C212" s="394"/>
      <c r="D212" s="394"/>
      <c r="E212" s="395"/>
      <c r="F212" s="395"/>
      <c r="G212" s="395"/>
      <c r="H212" s="395"/>
      <c r="I212" s="395"/>
      <c r="J212" s="395"/>
      <c r="K212" s="395"/>
    </row>
    <row r="213" spans="1:11" ht="16.5">
      <c r="A213" s="383"/>
      <c r="B213" s="393"/>
      <c r="C213" s="394"/>
      <c r="D213" s="394"/>
      <c r="E213" s="395"/>
      <c r="F213" s="395"/>
      <c r="G213" s="395"/>
      <c r="H213" s="395"/>
      <c r="I213" s="395"/>
      <c r="J213" s="395"/>
      <c r="K213" s="395"/>
    </row>
    <row r="214" spans="1:11" ht="16.5">
      <c r="A214" s="383"/>
      <c r="B214" s="393"/>
      <c r="C214" s="394"/>
      <c r="D214" s="394"/>
      <c r="E214" s="395"/>
      <c r="F214" s="395"/>
      <c r="G214" s="395"/>
      <c r="H214" s="395"/>
      <c r="I214" s="395"/>
      <c r="J214" s="395"/>
      <c r="K214" s="395"/>
    </row>
    <row r="215" spans="1:11" ht="16.5">
      <c r="A215" s="383"/>
      <c r="B215" s="393"/>
      <c r="C215" s="394"/>
      <c r="D215" s="394"/>
      <c r="E215" s="395"/>
      <c r="F215" s="395"/>
      <c r="G215" s="395"/>
      <c r="H215" s="395"/>
      <c r="I215" s="395"/>
      <c r="J215" s="395"/>
      <c r="K215" s="395"/>
    </row>
    <row r="216" spans="1:11" ht="16.5">
      <c r="A216" s="383"/>
      <c r="B216" s="393"/>
      <c r="C216" s="394"/>
      <c r="D216" s="394"/>
      <c r="E216" s="395"/>
      <c r="F216" s="395"/>
      <c r="G216" s="395"/>
      <c r="H216" s="395"/>
      <c r="I216" s="395"/>
      <c r="J216" s="395"/>
      <c r="K216" s="395"/>
    </row>
    <row r="217" spans="1:11" ht="16.5">
      <c r="A217" s="383"/>
      <c r="B217" s="393"/>
      <c r="C217" s="394"/>
      <c r="D217" s="394"/>
      <c r="E217" s="395"/>
      <c r="F217" s="395"/>
      <c r="G217" s="395"/>
      <c r="H217" s="395"/>
      <c r="I217" s="395"/>
      <c r="J217" s="395"/>
      <c r="K217" s="395"/>
    </row>
    <row r="218" spans="1:11" ht="16.5">
      <c r="A218" s="383"/>
      <c r="B218" s="393"/>
      <c r="C218" s="394"/>
      <c r="D218" s="394"/>
      <c r="E218" s="395"/>
      <c r="F218" s="395"/>
      <c r="G218" s="395"/>
      <c r="H218" s="395"/>
      <c r="I218" s="395"/>
      <c r="J218" s="395"/>
      <c r="K218" s="395"/>
    </row>
    <row r="219" spans="1:11" ht="16.5">
      <c r="A219" s="383"/>
      <c r="B219" s="393"/>
      <c r="C219" s="394"/>
      <c r="D219" s="394"/>
      <c r="E219" s="395"/>
      <c r="F219" s="395"/>
      <c r="G219" s="395"/>
      <c r="H219" s="395"/>
      <c r="I219" s="395"/>
      <c r="J219" s="395"/>
      <c r="K219" s="395"/>
    </row>
    <row r="220" spans="1:11" ht="16.5">
      <c r="A220" s="383"/>
      <c r="B220" s="393"/>
      <c r="C220" s="394"/>
      <c r="D220" s="394"/>
      <c r="E220" s="395"/>
      <c r="F220" s="395"/>
      <c r="G220" s="395"/>
      <c r="H220" s="395"/>
      <c r="I220" s="395"/>
      <c r="J220" s="395"/>
      <c r="K220" s="395"/>
    </row>
    <row r="221" spans="1:11" ht="16.5">
      <c r="A221" s="383"/>
      <c r="B221" s="393"/>
      <c r="C221" s="394"/>
      <c r="D221" s="394"/>
      <c r="E221" s="395"/>
      <c r="F221" s="395"/>
      <c r="G221" s="395"/>
      <c r="H221" s="395"/>
      <c r="I221" s="395"/>
      <c r="J221" s="395"/>
      <c r="K221" s="395"/>
    </row>
    <row r="222" spans="1:11" ht="16.5">
      <c r="A222" s="383"/>
      <c r="B222" s="393"/>
      <c r="C222" s="394"/>
      <c r="D222" s="394"/>
      <c r="E222" s="395"/>
      <c r="F222" s="395"/>
      <c r="G222" s="395"/>
      <c r="H222" s="395"/>
      <c r="I222" s="395"/>
      <c r="J222" s="395"/>
      <c r="K222" s="395"/>
    </row>
    <row r="223" spans="1:11" ht="16.5">
      <c r="A223" s="383"/>
      <c r="B223" s="393"/>
      <c r="C223" s="394"/>
      <c r="D223" s="394"/>
      <c r="E223" s="395"/>
      <c r="F223" s="395"/>
      <c r="G223" s="395"/>
      <c r="H223" s="395"/>
      <c r="I223" s="395"/>
      <c r="J223" s="395"/>
      <c r="K223" s="395"/>
    </row>
    <row r="224" spans="1:11" ht="16.5">
      <c r="A224" s="383"/>
      <c r="B224" s="393"/>
      <c r="C224" s="394"/>
      <c r="D224" s="394"/>
      <c r="E224" s="395"/>
      <c r="F224" s="395"/>
      <c r="G224" s="395"/>
      <c r="H224" s="395"/>
      <c r="I224" s="395"/>
      <c r="J224" s="395"/>
      <c r="K224" s="395"/>
    </row>
    <row r="225" spans="1:11" ht="16.5">
      <c r="A225" s="383"/>
      <c r="B225" s="393"/>
      <c r="C225" s="394"/>
      <c r="D225" s="394"/>
      <c r="E225" s="395"/>
      <c r="F225" s="395"/>
      <c r="G225" s="395"/>
      <c r="H225" s="395"/>
      <c r="I225" s="395"/>
      <c r="J225" s="395"/>
      <c r="K225" s="395"/>
    </row>
    <row r="226" spans="1:11" ht="16.5">
      <c r="A226" s="383"/>
      <c r="B226" s="393"/>
      <c r="C226" s="394"/>
      <c r="D226" s="394"/>
      <c r="E226" s="395"/>
      <c r="F226" s="395"/>
      <c r="G226" s="395"/>
      <c r="H226" s="395"/>
      <c r="I226" s="395"/>
      <c r="J226" s="395"/>
      <c r="K226" s="395"/>
    </row>
    <row r="227" spans="1:11" ht="16.5">
      <c r="A227" s="383"/>
      <c r="B227" s="393"/>
      <c r="C227" s="394"/>
      <c r="D227" s="394"/>
      <c r="E227" s="395"/>
      <c r="F227" s="395"/>
      <c r="G227" s="395"/>
      <c r="H227" s="395"/>
      <c r="I227" s="395"/>
      <c r="J227" s="395"/>
      <c r="K227" s="395"/>
    </row>
    <row r="228" spans="1:11" ht="16.5">
      <c r="A228" s="383"/>
      <c r="B228" s="393"/>
      <c r="C228" s="394"/>
      <c r="D228" s="394"/>
      <c r="E228" s="395"/>
      <c r="F228" s="395"/>
      <c r="G228" s="395"/>
      <c r="H228" s="395"/>
      <c r="I228" s="395"/>
      <c r="J228" s="395"/>
      <c r="K228" s="395"/>
    </row>
    <row r="229" spans="1:11" ht="16.5">
      <c r="A229" s="383"/>
      <c r="B229" s="393"/>
      <c r="C229" s="394"/>
      <c r="D229" s="394"/>
      <c r="E229" s="395"/>
      <c r="F229" s="395"/>
      <c r="G229" s="395"/>
      <c r="H229" s="395"/>
      <c r="I229" s="395"/>
      <c r="J229" s="395"/>
      <c r="K229" s="395"/>
    </row>
    <row r="230" spans="1:11" ht="16.5">
      <c r="A230" s="383"/>
      <c r="B230" s="393"/>
      <c r="C230" s="394"/>
      <c r="D230" s="394"/>
      <c r="E230" s="395"/>
      <c r="F230" s="395"/>
      <c r="G230" s="395"/>
      <c r="H230" s="395"/>
      <c r="I230" s="395"/>
      <c r="J230" s="395"/>
      <c r="K230" s="395"/>
    </row>
    <row r="231" spans="1:11" ht="16.5">
      <c r="A231" s="383"/>
      <c r="B231" s="393"/>
      <c r="C231" s="394"/>
      <c r="D231" s="394"/>
      <c r="E231" s="395"/>
      <c r="F231" s="395"/>
      <c r="G231" s="395"/>
      <c r="H231" s="395"/>
      <c r="I231" s="395"/>
      <c r="J231" s="395"/>
      <c r="K231" s="395"/>
    </row>
    <row r="232" spans="1:11" ht="16.5">
      <c r="A232" s="383"/>
      <c r="B232" s="393"/>
      <c r="C232" s="394"/>
      <c r="D232" s="394"/>
      <c r="E232" s="395"/>
      <c r="F232" s="395"/>
      <c r="G232" s="395"/>
      <c r="H232" s="395"/>
      <c r="I232" s="395"/>
      <c r="J232" s="395"/>
      <c r="K232" s="395"/>
    </row>
    <row r="233" spans="1:11" ht="16.5">
      <c r="A233" s="383"/>
      <c r="B233" s="393"/>
      <c r="C233" s="394"/>
      <c r="D233" s="394"/>
      <c r="E233" s="395"/>
      <c r="F233" s="395"/>
      <c r="G233" s="395"/>
      <c r="H233" s="395"/>
      <c r="I233" s="395"/>
      <c r="J233" s="395"/>
      <c r="K233" s="395"/>
    </row>
    <row r="234" spans="1:11" ht="16.5">
      <c r="A234" s="383"/>
      <c r="B234" s="393"/>
      <c r="C234" s="394"/>
      <c r="D234" s="394"/>
      <c r="E234" s="395"/>
      <c r="F234" s="395"/>
      <c r="G234" s="395"/>
      <c r="H234" s="395"/>
      <c r="I234" s="395"/>
      <c r="J234" s="395"/>
      <c r="K234" s="395"/>
    </row>
    <row r="235" spans="1:11" ht="16.5">
      <c r="A235" s="383"/>
      <c r="B235" s="393"/>
      <c r="C235" s="394"/>
      <c r="D235" s="394"/>
      <c r="E235" s="395"/>
      <c r="F235" s="395"/>
      <c r="G235" s="395"/>
      <c r="H235" s="395"/>
      <c r="I235" s="395"/>
      <c r="J235" s="395"/>
      <c r="K235" s="395"/>
    </row>
    <row r="236" spans="1:11" ht="16.5">
      <c r="A236" s="383"/>
      <c r="B236" s="393"/>
      <c r="C236" s="394"/>
      <c r="D236" s="394"/>
      <c r="E236" s="395"/>
      <c r="F236" s="395"/>
      <c r="G236" s="395"/>
      <c r="H236" s="395"/>
      <c r="I236" s="395"/>
      <c r="J236" s="395"/>
      <c r="K236" s="395"/>
    </row>
    <row r="237" spans="1:11" ht="16.5">
      <c r="A237" s="383"/>
      <c r="B237" s="393"/>
      <c r="C237" s="394"/>
      <c r="D237" s="394"/>
      <c r="E237" s="395"/>
      <c r="F237" s="395"/>
      <c r="G237" s="395"/>
      <c r="H237" s="395"/>
      <c r="I237" s="395"/>
      <c r="J237" s="395"/>
      <c r="K237" s="395"/>
    </row>
    <row r="238" spans="1:11" ht="16.5">
      <c r="A238" s="383"/>
      <c r="B238" s="393"/>
      <c r="C238" s="394"/>
      <c r="D238" s="394"/>
      <c r="E238" s="395"/>
      <c r="F238" s="395"/>
      <c r="G238" s="395"/>
      <c r="H238" s="395"/>
      <c r="I238" s="395"/>
      <c r="J238" s="395"/>
      <c r="K238" s="395"/>
    </row>
    <row r="239" spans="1:11" ht="16.5">
      <c r="A239" s="383"/>
      <c r="B239" s="393"/>
      <c r="C239" s="394"/>
      <c r="D239" s="394"/>
      <c r="E239" s="395"/>
      <c r="F239" s="395"/>
      <c r="G239" s="395"/>
      <c r="H239" s="395"/>
      <c r="I239" s="395"/>
      <c r="J239" s="395"/>
      <c r="K239" s="395"/>
    </row>
    <row r="240" spans="1:11" ht="16.5">
      <c r="A240" s="383"/>
      <c r="B240" s="393"/>
      <c r="C240" s="394"/>
      <c r="D240" s="394"/>
      <c r="E240" s="395"/>
      <c r="F240" s="395"/>
      <c r="G240" s="395"/>
      <c r="H240" s="395"/>
      <c r="I240" s="395"/>
      <c r="J240" s="395"/>
      <c r="K240" s="395"/>
    </row>
    <row r="241" spans="1:11" ht="16.5">
      <c r="A241" s="383"/>
      <c r="B241" s="393"/>
      <c r="C241" s="394"/>
      <c r="D241" s="394"/>
      <c r="E241" s="395"/>
      <c r="F241" s="395"/>
      <c r="G241" s="395"/>
      <c r="H241" s="395"/>
      <c r="I241" s="395"/>
      <c r="J241" s="395"/>
      <c r="K241" s="395"/>
    </row>
    <row r="242" spans="1:11" ht="16.5">
      <c r="A242" s="383"/>
      <c r="B242" s="393"/>
      <c r="C242" s="394"/>
      <c r="D242" s="394"/>
      <c r="E242" s="395"/>
      <c r="F242" s="395"/>
      <c r="G242" s="395"/>
      <c r="H242" s="395"/>
      <c r="I242" s="395"/>
      <c r="J242" s="395"/>
      <c r="K242" s="395"/>
    </row>
    <row r="243" spans="1:11" ht="16.5">
      <c r="A243" s="383"/>
      <c r="B243" s="393"/>
      <c r="C243" s="394"/>
      <c r="D243" s="394"/>
      <c r="E243" s="395"/>
      <c r="F243" s="395"/>
      <c r="G243" s="395"/>
      <c r="H243" s="395"/>
      <c r="I243" s="395"/>
      <c r="J243" s="395"/>
      <c r="K243" s="395"/>
    </row>
    <row r="244" spans="1:11" ht="16.5">
      <c r="A244" s="383"/>
      <c r="B244" s="393"/>
      <c r="C244" s="394"/>
      <c r="D244" s="394"/>
      <c r="E244" s="395"/>
      <c r="F244" s="395"/>
      <c r="G244" s="395"/>
      <c r="H244" s="395"/>
      <c r="I244" s="395"/>
      <c r="J244" s="395"/>
      <c r="K244" s="395"/>
    </row>
    <row r="245" spans="1:11" ht="16.5">
      <c r="A245" s="383"/>
      <c r="B245" s="393"/>
      <c r="C245" s="394"/>
      <c r="D245" s="394"/>
      <c r="E245" s="395"/>
      <c r="F245" s="395"/>
      <c r="G245" s="395"/>
      <c r="H245" s="395"/>
      <c r="I245" s="395"/>
      <c r="J245" s="395"/>
      <c r="K245" s="395"/>
    </row>
    <row r="246" spans="1:11" ht="16.5">
      <c r="A246" s="383"/>
      <c r="B246" s="393"/>
      <c r="C246" s="394"/>
      <c r="D246" s="394"/>
      <c r="E246" s="395"/>
      <c r="F246" s="395"/>
      <c r="G246" s="395"/>
      <c r="H246" s="395"/>
      <c r="I246" s="395"/>
      <c r="J246" s="395"/>
      <c r="K246" s="395"/>
    </row>
    <row r="247" spans="1:11" ht="16.5">
      <c r="A247" s="383"/>
      <c r="B247" s="393"/>
      <c r="C247" s="394"/>
      <c r="D247" s="394"/>
      <c r="E247" s="395"/>
      <c r="F247" s="395"/>
      <c r="G247" s="395"/>
      <c r="H247" s="395"/>
      <c r="I247" s="395"/>
      <c r="J247" s="395"/>
      <c r="K247" s="395"/>
    </row>
    <row r="248" spans="1:11" ht="16.5">
      <c r="A248" s="383"/>
      <c r="B248" s="393"/>
      <c r="C248" s="394"/>
      <c r="D248" s="394"/>
      <c r="E248" s="395"/>
      <c r="F248" s="395"/>
      <c r="G248" s="395"/>
      <c r="H248" s="395"/>
      <c r="I248" s="395"/>
      <c r="J248" s="395"/>
      <c r="K248" s="395"/>
    </row>
  </sheetData>
  <sheetProtection/>
  <mergeCells count="5">
    <mergeCell ref="B12:D12"/>
    <mergeCell ref="B14:I14"/>
    <mergeCell ref="J1:K1"/>
    <mergeCell ref="B2:K2"/>
    <mergeCell ref="A3:K3"/>
  </mergeCells>
  <printOptions horizontalCentered="1"/>
  <pageMargins left="0.708661417322835" right="0.47244094488189" top="0.748031496062992" bottom="0.984251968503937" header="0.511811023622047" footer="0.590551181102362"/>
  <pageSetup fitToHeight="0" fitToWidth="1" horizontalDpi="600" verticalDpi="600" orientation="landscape" paperSize="9" scale="77" r:id="rId1"/>
  <headerFooter alignWithMargins="0">
    <oddFooter>&amp;R&amp;P/&amp;N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O247"/>
  <sheetViews>
    <sheetView view="pageBreakPreview" zoomScale="60" zoomScaleNormal="70" zoomScalePageLayoutView="0" workbookViewId="0" topLeftCell="A1">
      <selection activeCell="H5" sqref="H5"/>
    </sheetView>
  </sheetViews>
  <sheetFormatPr defaultColWidth="9.140625" defaultRowHeight="12.75"/>
  <cols>
    <col min="1" max="1" width="5.8515625" style="381" customWidth="1"/>
    <col min="2" max="2" width="45.421875" style="381" customWidth="1"/>
    <col min="3" max="3" width="16.140625" style="382" customWidth="1"/>
    <col min="4" max="4" width="14.140625" style="382" customWidth="1"/>
    <col min="5" max="5" width="12.57421875" style="381" customWidth="1"/>
    <col min="6" max="6" width="14.8515625" style="381" customWidth="1"/>
    <col min="7" max="7" width="14.421875" style="381" customWidth="1"/>
    <col min="8" max="8" width="14.140625" style="381" customWidth="1"/>
    <col min="9" max="9" width="14.8515625" style="381" customWidth="1"/>
    <col min="10" max="10" width="15.57421875" style="381" customWidth="1"/>
    <col min="11" max="11" width="19.00390625" style="381" customWidth="1"/>
    <col min="12" max="12" width="20.7109375" style="529" customWidth="1"/>
    <col min="13" max="13" width="14.7109375" style="529" customWidth="1"/>
    <col min="14" max="14" width="17.421875" style="381" bestFit="1" customWidth="1"/>
    <col min="15" max="15" width="15.7109375" style="381" customWidth="1"/>
    <col min="16" max="16384" width="9.140625" style="381" customWidth="1"/>
  </cols>
  <sheetData>
    <row r="1" spans="2:11" ht="29.25" customHeight="1">
      <c r="B1" s="381" t="s">
        <v>372</v>
      </c>
      <c r="I1" s="378" t="s">
        <v>370</v>
      </c>
      <c r="J1" s="1343" t="s">
        <v>358</v>
      </c>
      <c r="K1" s="1343"/>
    </row>
    <row r="2" spans="2:11" ht="29.25" customHeight="1">
      <c r="B2" s="1322" t="s">
        <v>463</v>
      </c>
      <c r="C2" s="1322"/>
      <c r="D2" s="1322"/>
      <c r="E2" s="1322"/>
      <c r="F2" s="1322"/>
      <c r="G2" s="1322"/>
      <c r="H2" s="1322"/>
      <c r="I2" s="1322"/>
      <c r="J2" s="1322"/>
      <c r="K2" s="1322"/>
    </row>
    <row r="3" spans="2:11" ht="45" customHeight="1">
      <c r="B3" s="1344" t="s">
        <v>411</v>
      </c>
      <c r="C3" s="1344"/>
      <c r="D3" s="1344"/>
      <c r="E3" s="1344"/>
      <c r="F3" s="1344"/>
      <c r="G3" s="1344"/>
      <c r="H3" s="1344"/>
      <c r="I3" s="1344"/>
      <c r="J3" s="1344"/>
      <c r="K3" s="1344"/>
    </row>
    <row r="4" spans="2:11" ht="18" customHeight="1">
      <c r="B4" s="396"/>
      <c r="C4" s="397"/>
      <c r="D4" s="397"/>
      <c r="E4" s="396"/>
      <c r="F4" s="396"/>
      <c r="G4" s="396"/>
      <c r="H4" s="396"/>
      <c r="I4" s="396"/>
      <c r="J4" s="396"/>
      <c r="K4" s="396"/>
    </row>
    <row r="5" spans="1:11" ht="82.5" customHeight="1">
      <c r="A5" s="422" t="s">
        <v>0</v>
      </c>
      <c r="B5" s="399" t="s">
        <v>287</v>
      </c>
      <c r="C5" s="399" t="s">
        <v>184</v>
      </c>
      <c r="D5" s="399" t="s">
        <v>380</v>
      </c>
      <c r="E5" s="399" t="s">
        <v>298</v>
      </c>
      <c r="F5" s="399" t="s">
        <v>299</v>
      </c>
      <c r="G5" s="399" t="s">
        <v>300</v>
      </c>
      <c r="H5" s="399" t="s">
        <v>799</v>
      </c>
      <c r="I5" s="399" t="s">
        <v>301</v>
      </c>
      <c r="J5" s="399" t="s">
        <v>391</v>
      </c>
      <c r="K5" s="384" t="s">
        <v>409</v>
      </c>
    </row>
    <row r="6" spans="1:11" ht="30" customHeight="1">
      <c r="A6" s="422" t="s">
        <v>101</v>
      </c>
      <c r="B6" s="398" t="s">
        <v>412</v>
      </c>
      <c r="C6" s="400"/>
      <c r="D6" s="530"/>
      <c r="E6" s="530"/>
      <c r="F6" s="530"/>
      <c r="G6" s="530"/>
      <c r="H6" s="530"/>
      <c r="I6" s="530"/>
      <c r="J6" s="530"/>
      <c r="K6" s="400"/>
    </row>
    <row r="7" spans="1:11" ht="30" customHeight="1">
      <c r="A7" s="422">
        <v>1</v>
      </c>
      <c r="B7" s="401" t="s">
        <v>413</v>
      </c>
      <c r="C7" s="400" t="s">
        <v>396</v>
      </c>
      <c r="D7" s="530"/>
      <c r="E7" s="530">
        <f aca="true" t="shared" si="0" ref="E7:J7">E9+E10</f>
        <v>15</v>
      </c>
      <c r="F7" s="530">
        <f t="shared" si="0"/>
        <v>15</v>
      </c>
      <c r="G7" s="530">
        <f t="shared" si="0"/>
        <v>14</v>
      </c>
      <c r="H7" s="530">
        <f t="shared" si="0"/>
        <v>10</v>
      </c>
      <c r="I7" s="530">
        <f t="shared" si="0"/>
        <v>7</v>
      </c>
      <c r="J7" s="530">
        <f t="shared" si="0"/>
        <v>7</v>
      </c>
      <c r="K7" s="531"/>
    </row>
    <row r="8" spans="1:11" ht="30" customHeight="1">
      <c r="A8" s="422"/>
      <c r="B8" s="401" t="s">
        <v>214</v>
      </c>
      <c r="D8" s="530"/>
      <c r="E8" s="530"/>
      <c r="F8" s="530"/>
      <c r="G8" s="530"/>
      <c r="H8" s="530"/>
      <c r="I8" s="530"/>
      <c r="J8" s="530"/>
      <c r="K8" s="400"/>
    </row>
    <row r="9" spans="1:11" ht="30" customHeight="1">
      <c r="A9" s="422"/>
      <c r="B9" s="402" t="s">
        <v>397</v>
      </c>
      <c r="C9" s="400" t="s">
        <v>396</v>
      </c>
      <c r="D9" s="530"/>
      <c r="E9" s="530">
        <v>5</v>
      </c>
      <c r="F9" s="530">
        <v>5</v>
      </c>
      <c r="G9" s="530">
        <v>5</v>
      </c>
      <c r="H9" s="530">
        <v>4</v>
      </c>
      <c r="I9" s="530">
        <v>2</v>
      </c>
      <c r="J9" s="530">
        <v>2</v>
      </c>
      <c r="K9" s="531"/>
    </row>
    <row r="10" spans="1:11" ht="30" customHeight="1">
      <c r="A10" s="422"/>
      <c r="B10" s="402" t="s">
        <v>398</v>
      </c>
      <c r="C10" s="400" t="s">
        <v>396</v>
      </c>
      <c r="D10" s="530"/>
      <c r="E10" s="530">
        <v>10</v>
      </c>
      <c r="F10" s="530">
        <v>10</v>
      </c>
      <c r="G10" s="530">
        <v>9</v>
      </c>
      <c r="H10" s="530">
        <v>6</v>
      </c>
      <c r="I10" s="530">
        <v>5</v>
      </c>
      <c r="J10" s="530">
        <v>5</v>
      </c>
      <c r="K10" s="531"/>
    </row>
    <row r="11" spans="1:11" ht="30" customHeight="1">
      <c r="A11" s="422">
        <v>2</v>
      </c>
      <c r="B11" s="401" t="s">
        <v>414</v>
      </c>
      <c r="C11" s="400" t="s">
        <v>396</v>
      </c>
      <c r="D11" s="530">
        <v>3</v>
      </c>
      <c r="E11" s="530"/>
      <c r="F11" s="530"/>
      <c r="G11" s="530"/>
      <c r="H11" s="530">
        <v>1</v>
      </c>
      <c r="I11" s="530">
        <v>2</v>
      </c>
      <c r="J11" s="530">
        <v>3</v>
      </c>
      <c r="K11" s="531" t="s">
        <v>36</v>
      </c>
    </row>
    <row r="12" spans="1:11" ht="41.25" customHeight="1">
      <c r="A12" s="422">
        <v>3</v>
      </c>
      <c r="B12" s="401" t="s">
        <v>539</v>
      </c>
      <c r="C12" s="400" t="s">
        <v>396</v>
      </c>
      <c r="D12" s="530">
        <v>5</v>
      </c>
      <c r="E12" s="530"/>
      <c r="F12" s="530"/>
      <c r="G12" s="530"/>
      <c r="H12" s="530">
        <v>4</v>
      </c>
      <c r="I12" s="530">
        <v>1</v>
      </c>
      <c r="J12" s="530">
        <v>5</v>
      </c>
      <c r="K12" s="531" t="s">
        <v>36</v>
      </c>
    </row>
    <row r="13" spans="1:12" ht="30" customHeight="1">
      <c r="A13" s="422">
        <v>4</v>
      </c>
      <c r="B13" s="401" t="s">
        <v>415</v>
      </c>
      <c r="C13" s="400" t="s">
        <v>366</v>
      </c>
      <c r="D13" s="532"/>
      <c r="E13" s="532">
        <v>351239</v>
      </c>
      <c r="F13" s="532">
        <v>441559</v>
      </c>
      <c r="G13" s="532">
        <v>789682</v>
      </c>
      <c r="H13" s="533">
        <v>819867</v>
      </c>
      <c r="I13" s="533">
        <v>860860</v>
      </c>
      <c r="J13" s="533">
        <f>I13</f>
        <v>860860</v>
      </c>
      <c r="K13" s="534"/>
      <c r="L13" s="535"/>
    </row>
    <row r="14" spans="1:12" ht="30" customHeight="1">
      <c r="A14" s="422">
        <v>5</v>
      </c>
      <c r="B14" s="401" t="s">
        <v>416</v>
      </c>
      <c r="C14" s="400" t="s">
        <v>366</v>
      </c>
      <c r="D14" s="532"/>
      <c r="E14" s="532">
        <v>311761</v>
      </c>
      <c r="F14" s="532">
        <v>311761</v>
      </c>
      <c r="G14" s="532">
        <v>311761</v>
      </c>
      <c r="H14" s="532">
        <v>679313</v>
      </c>
      <c r="I14" s="532">
        <v>779313</v>
      </c>
      <c r="J14" s="532">
        <v>779313</v>
      </c>
      <c r="K14" s="534"/>
      <c r="L14" s="536"/>
    </row>
    <row r="15" spans="1:13" ht="30" customHeight="1">
      <c r="A15" s="422">
        <v>6</v>
      </c>
      <c r="B15" s="401" t="s">
        <v>417</v>
      </c>
      <c r="C15" s="400" t="s">
        <v>366</v>
      </c>
      <c r="D15" s="532"/>
      <c r="E15" s="532">
        <v>51312</v>
      </c>
      <c r="F15" s="532">
        <f>40174+11612</f>
        <v>51786</v>
      </c>
      <c r="G15" s="532">
        <f>41054+13022</f>
        <v>54076</v>
      </c>
      <c r="H15" s="532">
        <f>((G15/G7)*10)+(((G15/G7)*H7))*5%</f>
        <v>40557</v>
      </c>
      <c r="I15" s="532">
        <f>((H15/H7)*10)+(((H15/H7)*I7))*5%</f>
        <v>41976.495</v>
      </c>
      <c r="J15" s="532">
        <f>(E15+F15+G15+H15+I15)</f>
        <v>239707.495</v>
      </c>
      <c r="K15" s="534"/>
      <c r="L15" s="537"/>
      <c r="M15" s="538"/>
    </row>
    <row r="16" spans="1:13" ht="30" customHeight="1">
      <c r="A16" s="422">
        <v>7</v>
      </c>
      <c r="B16" s="401" t="s">
        <v>418</v>
      </c>
      <c r="C16" s="400" t="s">
        <v>366</v>
      </c>
      <c r="D16" s="532"/>
      <c r="E16" s="532">
        <v>430750</v>
      </c>
      <c r="F16" s="532">
        <v>524476</v>
      </c>
      <c r="G16" s="532">
        <v>530400</v>
      </c>
      <c r="H16" s="532">
        <f>(33856*10)+((33856*10)*5%)</f>
        <v>355488</v>
      </c>
      <c r="I16" s="533">
        <f>(33856*7)+((33856*7)*5%)</f>
        <v>248841.6</v>
      </c>
      <c r="J16" s="533">
        <f>(E16+F16+G16+H16+I16)</f>
        <v>2089955.6</v>
      </c>
      <c r="K16" s="534"/>
      <c r="L16" s="539"/>
      <c r="M16" s="538"/>
    </row>
    <row r="17" spans="1:13" ht="30" customHeight="1">
      <c r="A17" s="422">
        <v>8</v>
      </c>
      <c r="B17" s="401" t="s">
        <v>419</v>
      </c>
      <c r="C17" s="400" t="s">
        <v>366</v>
      </c>
      <c r="D17" s="532"/>
      <c r="E17" s="532">
        <v>4703</v>
      </c>
      <c r="F17" s="532">
        <f>((E17/E7)*F7)+(((E17/E7)*F7))*3%</f>
        <v>4844.09</v>
      </c>
      <c r="G17" s="532">
        <f>((F17/F7)*G7)+(((F17/F7)*G7))*3%</f>
        <v>4656.785186666667</v>
      </c>
      <c r="H17" s="532">
        <f>((G17/G7)*H7)+(((G17/G7)*H7))*3%</f>
        <v>3426.0633873333336</v>
      </c>
      <c r="I17" s="532">
        <f>((H17/H7)*I7)+(((H17/H7)*I7))*3%</f>
        <v>2470.1917022673333</v>
      </c>
      <c r="J17" s="533">
        <f>(E17+F17+G17+H17+I17)</f>
        <v>20100.130276267333</v>
      </c>
      <c r="K17" s="534"/>
      <c r="M17"/>
    </row>
    <row r="18" spans="1:13" ht="30" customHeight="1">
      <c r="A18" s="422">
        <v>9</v>
      </c>
      <c r="B18" s="401" t="s">
        <v>420</v>
      </c>
      <c r="C18" s="400" t="s">
        <v>366</v>
      </c>
      <c r="D18" s="532"/>
      <c r="E18" s="532">
        <v>490697</v>
      </c>
      <c r="F18" s="532">
        <v>504566</v>
      </c>
      <c r="G18" s="532">
        <v>505519</v>
      </c>
      <c r="H18" s="533">
        <f>((E18/E7)+(F18/F7)+(G18/G7))/3*7</f>
        <v>239071.85555555555</v>
      </c>
      <c r="I18" s="533">
        <f>((F18/F7)+(G18/G7)+(H18/H7)+(H18/H7))/4*7</f>
        <v>205731.05777777778</v>
      </c>
      <c r="J18" s="533">
        <v>205731</v>
      </c>
      <c r="K18" s="534"/>
      <c r="L18" s="536"/>
      <c r="M18" s="540"/>
    </row>
    <row r="19" spans="1:13" ht="30" customHeight="1">
      <c r="A19" s="422" t="s">
        <v>102</v>
      </c>
      <c r="B19" s="398" t="s">
        <v>421</v>
      </c>
      <c r="C19" s="400"/>
      <c r="D19" s="532"/>
      <c r="E19" s="532"/>
      <c r="F19" s="532"/>
      <c r="G19" s="532"/>
      <c r="H19" s="533"/>
      <c r="I19" s="533"/>
      <c r="J19" s="533"/>
      <c r="K19" s="534"/>
      <c r="L19" s="537"/>
      <c r="M19" s="540"/>
    </row>
    <row r="20" spans="1:14" ht="33">
      <c r="A20" s="422">
        <v>1</v>
      </c>
      <c r="B20" s="401" t="s">
        <v>422</v>
      </c>
      <c r="C20" s="400" t="s">
        <v>396</v>
      </c>
      <c r="D20" s="532"/>
      <c r="E20" s="532">
        <f>702-E7</f>
        <v>687</v>
      </c>
      <c r="F20" s="532">
        <f>786-F7</f>
        <v>771</v>
      </c>
      <c r="G20" s="532">
        <v>854</v>
      </c>
      <c r="H20" s="533">
        <f>894-H7</f>
        <v>884</v>
      </c>
      <c r="I20" s="533">
        <f>1025-I7</f>
        <v>1018</v>
      </c>
      <c r="J20" s="533">
        <f>I20</f>
        <v>1018</v>
      </c>
      <c r="K20" s="534"/>
      <c r="L20" s="537"/>
      <c r="M20" s="540"/>
      <c r="N20" s="536"/>
    </row>
    <row r="21" spans="1:14" ht="30" customHeight="1">
      <c r="A21" s="422">
        <v>2</v>
      </c>
      <c r="B21" s="401" t="s">
        <v>423</v>
      </c>
      <c r="C21" s="400" t="s">
        <v>396</v>
      </c>
      <c r="D21" s="532"/>
      <c r="E21" s="532">
        <v>618</v>
      </c>
      <c r="F21" s="532">
        <v>650</v>
      </c>
      <c r="G21" s="533">
        <v>531</v>
      </c>
      <c r="H21" s="532">
        <f>((E21/E20)+(F21/F20)+(G21/G20))/3*H20</f>
        <v>696.7110860134067</v>
      </c>
      <c r="I21" s="532">
        <f>((F21/F20)+(G21/G20)+(H21/H20))/3*I20</f>
        <v>764.5096971791406</v>
      </c>
      <c r="J21" s="532">
        <f>(E21+F21+G21+H21+I21)/5</f>
        <v>652.0441566385094</v>
      </c>
      <c r="K21" s="541"/>
      <c r="L21" s="535"/>
      <c r="M21" s="540"/>
      <c r="N21" s="536"/>
    </row>
    <row r="22" spans="1:14" ht="30" customHeight="1">
      <c r="A22" s="422">
        <v>3</v>
      </c>
      <c r="B22" s="401" t="s">
        <v>424</v>
      </c>
      <c r="C22" s="400" t="s">
        <v>367</v>
      </c>
      <c r="D22" s="532"/>
      <c r="E22" s="532">
        <f>27663-972</f>
        <v>26691</v>
      </c>
      <c r="F22" s="532">
        <f>29600-682</f>
        <v>28918</v>
      </c>
      <c r="G22" s="532">
        <f>32929-712</f>
        <v>32217</v>
      </c>
      <c r="H22" s="532">
        <v>33847</v>
      </c>
      <c r="I22" s="532">
        <f>38*I20</f>
        <v>38684</v>
      </c>
      <c r="J22" s="532">
        <f>(E22+F22+G22+H22+I22)/5</f>
        <v>32071.4</v>
      </c>
      <c r="K22" s="541"/>
      <c r="L22" s="535"/>
      <c r="M22" s="540"/>
      <c r="N22" s="536"/>
    </row>
    <row r="23" spans="1:14" ht="30" customHeight="1">
      <c r="A23" s="422"/>
      <c r="B23" s="403" t="s">
        <v>368</v>
      </c>
      <c r="C23" s="400" t="s">
        <v>367</v>
      </c>
      <c r="D23" s="532"/>
      <c r="E23" s="532">
        <f>4674-209</f>
        <v>4465</v>
      </c>
      <c r="F23" s="532">
        <f>5126-120</f>
        <v>5006</v>
      </c>
      <c r="G23" s="532">
        <f>5669-127</f>
        <v>5542</v>
      </c>
      <c r="H23" s="532">
        <f>6.49*H20</f>
        <v>5737.16</v>
      </c>
      <c r="I23" s="532">
        <f>6.49*I20</f>
        <v>6606.820000000001</v>
      </c>
      <c r="J23" s="532">
        <f>(E23+F23+G23+H23+I23)/5</f>
        <v>5471.396</v>
      </c>
      <c r="K23" s="541"/>
      <c r="L23" s="537"/>
      <c r="M23" s="540"/>
      <c r="N23" s="529"/>
    </row>
    <row r="24" spans="1:14" ht="34.5" customHeight="1">
      <c r="A24" s="422">
        <v>4</v>
      </c>
      <c r="B24" s="401" t="s">
        <v>425</v>
      </c>
      <c r="C24" s="400" t="s">
        <v>369</v>
      </c>
      <c r="D24" s="532"/>
      <c r="E24" s="532">
        <v>3</v>
      </c>
      <c r="F24" s="542">
        <v>3.8</v>
      </c>
      <c r="G24" s="532">
        <v>4</v>
      </c>
      <c r="H24" s="532">
        <v>4</v>
      </c>
      <c r="I24" s="532">
        <v>4</v>
      </c>
      <c r="J24" s="532">
        <f>(E24+F24+G24+H24+I24)/5</f>
        <v>3.7600000000000002</v>
      </c>
      <c r="K24" s="541"/>
      <c r="L24" s="543"/>
      <c r="M24" s="540"/>
      <c r="N24" s="529"/>
    </row>
    <row r="25" spans="1:14" ht="30" customHeight="1">
      <c r="A25" s="422">
        <v>5</v>
      </c>
      <c r="B25" s="401" t="s">
        <v>426</v>
      </c>
      <c r="C25" s="400" t="s">
        <v>366</v>
      </c>
      <c r="D25" s="532"/>
      <c r="E25" s="532">
        <v>1561309</v>
      </c>
      <c r="F25" s="532">
        <v>1580120</v>
      </c>
      <c r="G25" s="532">
        <v>1808026</v>
      </c>
      <c r="H25" s="532">
        <f>((E25/E20)+(F25/F20)+(G25/G20))/3*H20*1.5</f>
        <v>2846133.688696508</v>
      </c>
      <c r="I25" s="532">
        <f>((F25/F20)+(G25/G20)+(H25/H20))/3*I20*1.5</f>
        <v>3759564.0887150886</v>
      </c>
      <c r="J25" s="532">
        <f>I25</f>
        <v>3759564.0887150886</v>
      </c>
      <c r="K25" s="541"/>
      <c r="L25" s="543"/>
      <c r="M25" s="540"/>
      <c r="N25" s="529"/>
    </row>
    <row r="26" spans="1:15" ht="30" customHeight="1">
      <c r="A26" s="422">
        <v>6</v>
      </c>
      <c r="B26" s="401" t="s">
        <v>427</v>
      </c>
      <c r="C26" s="400" t="s">
        <v>366</v>
      </c>
      <c r="D26" s="532"/>
      <c r="E26" s="532">
        <f>5497134-80243</f>
        <v>5416891</v>
      </c>
      <c r="F26" s="532">
        <f>7185647-69932</f>
        <v>7115715</v>
      </c>
      <c r="G26" s="532">
        <f>8330510-72550</f>
        <v>8257960</v>
      </c>
      <c r="H26" s="532">
        <f>G26+(G26*5%)</f>
        <v>8670858</v>
      </c>
      <c r="I26" s="532">
        <f>H26+(H26*5%)</f>
        <v>9104400.9</v>
      </c>
      <c r="J26" s="532">
        <f>(E26+F26+G26+H26+I26)</f>
        <v>38565824.9</v>
      </c>
      <c r="K26" s="541"/>
      <c r="L26" s="543"/>
      <c r="M26" s="540"/>
      <c r="N26" s="529"/>
      <c r="O26" s="529"/>
    </row>
    <row r="27" spans="1:15" ht="30" customHeight="1">
      <c r="A27" s="422">
        <v>7</v>
      </c>
      <c r="B27" s="401" t="s">
        <v>428</v>
      </c>
      <c r="C27" s="400" t="s">
        <v>366</v>
      </c>
      <c r="D27" s="532"/>
      <c r="E27" s="532">
        <v>111140</v>
      </c>
      <c r="F27" s="532">
        <v>205485</v>
      </c>
      <c r="G27" s="532">
        <f>(F27/F26)*G26</f>
        <v>238470.3308943655</v>
      </c>
      <c r="H27" s="532">
        <f>((G27/G20)*H20)+(((G27/G20)*H20))*3%</f>
        <v>254252.93405847502</v>
      </c>
      <c r="I27" s="532">
        <f>((H27/H20)*I20)+(((H27/H20)*I20))*3%</f>
        <v>301577.3433005355</v>
      </c>
      <c r="J27" s="532">
        <f>(E27+F27+G27+H27+I27)</f>
        <v>1110925.608253376</v>
      </c>
      <c r="K27" s="541"/>
      <c r="L27" s="537"/>
      <c r="M27" s="540"/>
      <c r="O27" s="544"/>
    </row>
    <row r="28" spans="1:15" ht="30" customHeight="1">
      <c r="A28" s="422">
        <v>8</v>
      </c>
      <c r="B28" s="401" t="s">
        <v>429</v>
      </c>
      <c r="C28" s="400" t="s">
        <v>366</v>
      </c>
      <c r="D28" s="532"/>
      <c r="E28" s="532">
        <f>175442-E15</f>
        <v>124130</v>
      </c>
      <c r="F28" s="532">
        <f>224678-F15</f>
        <v>172892</v>
      </c>
      <c r="G28" s="532">
        <v>207892</v>
      </c>
      <c r="H28" s="532">
        <f>G28+(G28*5%)</f>
        <v>218286.6</v>
      </c>
      <c r="I28" s="532">
        <f>H28+(H28*5%)</f>
        <v>229200.93</v>
      </c>
      <c r="J28" s="532">
        <f>(E28+F28+G28+H28+I28)</f>
        <v>952401.53</v>
      </c>
      <c r="K28" s="541"/>
      <c r="L28" s="543"/>
      <c r="M28" s="540"/>
      <c r="N28" s="545"/>
      <c r="O28" s="546"/>
    </row>
    <row r="29" spans="1:13" ht="44.25" customHeight="1">
      <c r="A29" s="422">
        <v>9</v>
      </c>
      <c r="B29" s="401" t="s">
        <v>430</v>
      </c>
      <c r="C29" s="400" t="s">
        <v>366</v>
      </c>
      <c r="D29" s="532"/>
      <c r="E29" s="532"/>
      <c r="F29" s="532"/>
      <c r="G29" s="532"/>
      <c r="H29" s="532"/>
      <c r="I29" s="532">
        <v>474</v>
      </c>
      <c r="J29" s="532">
        <f>SUM(E29:I29)</f>
        <v>474</v>
      </c>
      <c r="K29" s="541"/>
      <c r="L29" s="543"/>
      <c r="M29" s="535"/>
    </row>
    <row r="30" spans="2:13" ht="18.75">
      <c r="B30" s="396"/>
      <c r="C30" s="397"/>
      <c r="D30" s="397"/>
      <c r="E30" s="396"/>
      <c r="F30" s="396"/>
      <c r="G30" s="396"/>
      <c r="H30" s="396"/>
      <c r="I30" s="396"/>
      <c r="J30" s="396"/>
      <c r="K30" s="396"/>
      <c r="M30" s="547"/>
    </row>
    <row r="31" spans="2:11" ht="18.75">
      <c r="B31" s="1300" t="s">
        <v>404</v>
      </c>
      <c r="C31" s="1300"/>
      <c r="D31" s="1300"/>
      <c r="E31" s="396"/>
      <c r="F31" s="396"/>
      <c r="G31" s="396"/>
      <c r="H31" s="396"/>
      <c r="I31" s="396"/>
      <c r="J31" s="396"/>
      <c r="K31" s="396"/>
    </row>
    <row r="32" spans="1:11" ht="88.5" customHeight="1">
      <c r="A32" s="1342" t="s">
        <v>540</v>
      </c>
      <c r="B32" s="1342"/>
      <c r="C32" s="1342"/>
      <c r="D32" s="1342"/>
      <c r="E32" s="1342"/>
      <c r="F32" s="1342"/>
      <c r="G32" s="1342"/>
      <c r="H32" s="1342"/>
      <c r="I32" s="1342"/>
      <c r="J32" s="1342"/>
      <c r="K32" s="1342"/>
    </row>
    <row r="33" spans="1:11" ht="40.5" customHeight="1">
      <c r="A33" s="1342"/>
      <c r="B33" s="1342"/>
      <c r="C33" s="1342"/>
      <c r="D33" s="1342"/>
      <c r="E33" s="1342"/>
      <c r="F33" s="1342"/>
      <c r="G33" s="1342"/>
      <c r="H33" s="1342"/>
      <c r="I33" s="1342"/>
      <c r="J33" s="1342"/>
      <c r="K33" s="1342"/>
    </row>
    <row r="34" spans="2:11" ht="18.75">
      <c r="B34" s="396"/>
      <c r="C34" s="397"/>
      <c r="D34" s="397"/>
      <c r="E34" s="396"/>
      <c r="F34" s="396"/>
      <c r="G34" s="396"/>
      <c r="H34" s="396"/>
      <c r="I34" s="396"/>
      <c r="J34" s="396"/>
      <c r="K34" s="396"/>
    </row>
    <row r="35" spans="2:11" ht="18.75">
      <c r="B35" s="396"/>
      <c r="C35" s="397"/>
      <c r="D35" s="397"/>
      <c r="E35" s="396"/>
      <c r="F35" s="396"/>
      <c r="G35" s="396"/>
      <c r="H35" s="396"/>
      <c r="I35" s="396"/>
      <c r="J35" s="396"/>
      <c r="K35" s="396"/>
    </row>
    <row r="36" spans="2:11" ht="18.75">
      <c r="B36" s="396"/>
      <c r="C36" s="397"/>
      <c r="D36" s="397"/>
      <c r="E36" s="396"/>
      <c r="F36" s="396"/>
      <c r="G36" s="396"/>
      <c r="H36" s="396"/>
      <c r="I36" s="396"/>
      <c r="J36" s="396"/>
      <c r="K36" s="396"/>
    </row>
    <row r="37" spans="2:11" ht="18.75">
      <c r="B37" s="396"/>
      <c r="C37" s="397"/>
      <c r="D37" s="397"/>
      <c r="E37" s="396"/>
      <c r="F37" s="396"/>
      <c r="G37" s="396"/>
      <c r="H37" s="396"/>
      <c r="I37" s="396"/>
      <c r="J37" s="396"/>
      <c r="K37" s="396"/>
    </row>
    <row r="38" spans="2:11" ht="18.75">
      <c r="B38" s="396"/>
      <c r="C38" s="397"/>
      <c r="D38" s="397"/>
      <c r="E38" s="396"/>
      <c r="F38" s="396"/>
      <c r="G38" s="396"/>
      <c r="H38" s="396"/>
      <c r="I38" s="396"/>
      <c r="J38" s="396"/>
      <c r="K38" s="396"/>
    </row>
    <row r="39" spans="2:11" ht="18.75">
      <c r="B39" s="396"/>
      <c r="C39" s="397"/>
      <c r="D39" s="397"/>
      <c r="E39" s="396"/>
      <c r="F39" s="396"/>
      <c r="G39" s="396"/>
      <c r="H39" s="396"/>
      <c r="I39" s="396"/>
      <c r="J39" s="396"/>
      <c r="K39" s="396"/>
    </row>
    <row r="40" spans="2:11" ht="18.75">
      <c r="B40" s="396"/>
      <c r="C40" s="397"/>
      <c r="D40" s="397"/>
      <c r="E40" s="396"/>
      <c r="F40" s="396"/>
      <c r="G40" s="396"/>
      <c r="H40" s="396"/>
      <c r="I40" s="396"/>
      <c r="J40" s="396"/>
      <c r="K40" s="396"/>
    </row>
    <row r="41" spans="2:11" ht="18.75">
      <c r="B41" s="396"/>
      <c r="C41" s="397"/>
      <c r="D41" s="397"/>
      <c r="E41" s="396"/>
      <c r="F41" s="396"/>
      <c r="G41" s="396"/>
      <c r="H41" s="396"/>
      <c r="I41" s="396"/>
      <c r="J41" s="396"/>
      <c r="K41" s="396"/>
    </row>
    <row r="42" spans="2:11" ht="18.75">
      <c r="B42" s="396"/>
      <c r="C42" s="397"/>
      <c r="D42" s="397"/>
      <c r="E42" s="396"/>
      <c r="F42" s="396"/>
      <c r="G42" s="396"/>
      <c r="H42" s="396"/>
      <c r="I42" s="396"/>
      <c r="J42" s="396"/>
      <c r="K42" s="396"/>
    </row>
    <row r="43" spans="2:11" ht="18.75">
      <c r="B43" s="396"/>
      <c r="C43" s="397"/>
      <c r="D43" s="397"/>
      <c r="E43" s="396"/>
      <c r="F43" s="396"/>
      <c r="G43" s="396"/>
      <c r="H43" s="396"/>
      <c r="I43" s="396"/>
      <c r="J43" s="396"/>
      <c r="K43" s="396"/>
    </row>
    <row r="44" spans="2:11" ht="18.75">
      <c r="B44" s="396"/>
      <c r="C44" s="397"/>
      <c r="D44" s="397"/>
      <c r="E44" s="396"/>
      <c r="F44" s="396"/>
      <c r="G44" s="396"/>
      <c r="H44" s="396"/>
      <c r="I44" s="396"/>
      <c r="J44" s="396"/>
      <c r="K44" s="396"/>
    </row>
    <row r="45" spans="2:11" ht="18.75">
      <c r="B45" s="396"/>
      <c r="C45" s="397"/>
      <c r="D45" s="397"/>
      <c r="E45" s="396"/>
      <c r="F45" s="396"/>
      <c r="G45" s="396"/>
      <c r="H45" s="396"/>
      <c r="I45" s="396"/>
      <c r="J45" s="396"/>
      <c r="K45" s="396"/>
    </row>
    <row r="46" spans="2:11" ht="18.75">
      <c r="B46" s="396"/>
      <c r="C46" s="397"/>
      <c r="D46" s="397"/>
      <c r="E46" s="396"/>
      <c r="F46" s="396"/>
      <c r="G46" s="396"/>
      <c r="H46" s="396"/>
      <c r="I46" s="396"/>
      <c r="J46" s="396"/>
      <c r="K46" s="396"/>
    </row>
    <row r="47" spans="2:11" ht="18.75">
      <c r="B47" s="396"/>
      <c r="C47" s="397"/>
      <c r="D47" s="397"/>
      <c r="E47" s="396"/>
      <c r="F47" s="396"/>
      <c r="G47" s="396"/>
      <c r="H47" s="396"/>
      <c r="I47" s="396"/>
      <c r="J47" s="396"/>
      <c r="K47" s="396"/>
    </row>
    <row r="48" spans="2:11" ht="18.75">
      <c r="B48" s="396"/>
      <c r="C48" s="397"/>
      <c r="D48" s="397"/>
      <c r="E48" s="396"/>
      <c r="F48" s="396"/>
      <c r="G48" s="396"/>
      <c r="H48" s="396"/>
      <c r="I48" s="396"/>
      <c r="J48" s="396"/>
      <c r="K48" s="396"/>
    </row>
    <row r="49" spans="2:11" ht="18.75">
      <c r="B49" s="396"/>
      <c r="C49" s="397"/>
      <c r="D49" s="397"/>
      <c r="E49" s="396"/>
      <c r="F49" s="396"/>
      <c r="G49" s="396"/>
      <c r="H49" s="396"/>
      <c r="I49" s="396"/>
      <c r="J49" s="396"/>
      <c r="K49" s="396"/>
    </row>
    <row r="50" spans="2:11" ht="18.75">
      <c r="B50" s="396"/>
      <c r="C50" s="397"/>
      <c r="D50" s="397"/>
      <c r="E50" s="396"/>
      <c r="F50" s="396"/>
      <c r="G50" s="396"/>
      <c r="H50" s="396"/>
      <c r="I50" s="396"/>
      <c r="J50" s="396"/>
      <c r="K50" s="396"/>
    </row>
    <row r="51" spans="2:11" ht="18.75">
      <c r="B51" s="396"/>
      <c r="C51" s="397"/>
      <c r="D51" s="397"/>
      <c r="E51" s="396"/>
      <c r="F51" s="396"/>
      <c r="G51" s="396"/>
      <c r="H51" s="396"/>
      <c r="I51" s="396"/>
      <c r="J51" s="396"/>
      <c r="K51" s="396"/>
    </row>
    <row r="52" spans="2:11" ht="18.75">
      <c r="B52" s="396"/>
      <c r="C52" s="397"/>
      <c r="D52" s="397"/>
      <c r="E52" s="396"/>
      <c r="F52" s="396"/>
      <c r="G52" s="396"/>
      <c r="H52" s="396"/>
      <c r="I52" s="396"/>
      <c r="J52" s="396"/>
      <c r="K52" s="396"/>
    </row>
    <row r="53" spans="2:11" ht="18.75">
      <c r="B53" s="396"/>
      <c r="C53" s="397"/>
      <c r="D53" s="397"/>
      <c r="E53" s="396"/>
      <c r="F53" s="396"/>
      <c r="G53" s="396"/>
      <c r="H53" s="396"/>
      <c r="I53" s="396"/>
      <c r="J53" s="396"/>
      <c r="K53" s="396"/>
    </row>
    <row r="54" spans="2:11" ht="18.75">
      <c r="B54" s="396"/>
      <c r="C54" s="397"/>
      <c r="D54" s="397"/>
      <c r="E54" s="396"/>
      <c r="F54" s="396"/>
      <c r="G54" s="396"/>
      <c r="H54" s="396"/>
      <c r="I54" s="396"/>
      <c r="J54" s="396"/>
      <c r="K54" s="396"/>
    </row>
    <row r="55" spans="2:11" ht="18.75">
      <c r="B55" s="396"/>
      <c r="C55" s="397"/>
      <c r="D55" s="397"/>
      <c r="E55" s="396"/>
      <c r="F55" s="396"/>
      <c r="G55" s="396"/>
      <c r="H55" s="396"/>
      <c r="I55" s="396"/>
      <c r="J55" s="396"/>
      <c r="K55" s="396"/>
    </row>
    <row r="56" spans="2:11" ht="18.75">
      <c r="B56" s="396"/>
      <c r="C56" s="397"/>
      <c r="D56" s="397"/>
      <c r="E56" s="396"/>
      <c r="F56" s="396"/>
      <c r="G56" s="396"/>
      <c r="H56" s="396"/>
      <c r="I56" s="396"/>
      <c r="J56" s="396"/>
      <c r="K56" s="396"/>
    </row>
    <row r="57" spans="2:11" ht="18.75">
      <c r="B57" s="396"/>
      <c r="C57" s="397"/>
      <c r="D57" s="397"/>
      <c r="E57" s="396"/>
      <c r="F57" s="396"/>
      <c r="G57" s="396"/>
      <c r="H57" s="396"/>
      <c r="I57" s="396"/>
      <c r="J57" s="396"/>
      <c r="K57" s="396"/>
    </row>
    <row r="58" spans="2:11" ht="18.75">
      <c r="B58" s="396"/>
      <c r="C58" s="397"/>
      <c r="D58" s="397"/>
      <c r="E58" s="396"/>
      <c r="F58" s="396"/>
      <c r="G58" s="396"/>
      <c r="H58" s="396"/>
      <c r="I58" s="396"/>
      <c r="J58" s="396"/>
      <c r="K58" s="396"/>
    </row>
    <row r="59" spans="2:11" ht="18.75">
      <c r="B59" s="396"/>
      <c r="C59" s="397"/>
      <c r="D59" s="397"/>
      <c r="E59" s="396"/>
      <c r="F59" s="396"/>
      <c r="G59" s="396"/>
      <c r="H59" s="396"/>
      <c r="I59" s="396"/>
      <c r="J59" s="396"/>
      <c r="K59" s="396"/>
    </row>
    <row r="60" spans="2:11" ht="18.75">
      <c r="B60" s="396"/>
      <c r="C60" s="397"/>
      <c r="D60" s="397"/>
      <c r="E60" s="396"/>
      <c r="F60" s="396"/>
      <c r="G60" s="396"/>
      <c r="H60" s="396"/>
      <c r="I60" s="396"/>
      <c r="J60" s="396"/>
      <c r="K60" s="396"/>
    </row>
    <row r="61" spans="2:11" ht="18.75">
      <c r="B61" s="396"/>
      <c r="C61" s="397"/>
      <c r="D61" s="397"/>
      <c r="E61" s="396"/>
      <c r="F61" s="396"/>
      <c r="G61" s="396"/>
      <c r="H61" s="396"/>
      <c r="I61" s="396"/>
      <c r="J61" s="396"/>
      <c r="K61" s="396"/>
    </row>
    <row r="62" spans="2:11" ht="18.75">
      <c r="B62" s="396"/>
      <c r="C62" s="397"/>
      <c r="D62" s="397"/>
      <c r="E62" s="396"/>
      <c r="F62" s="396"/>
      <c r="G62" s="396"/>
      <c r="H62" s="396"/>
      <c r="I62" s="396"/>
      <c r="J62" s="396"/>
      <c r="K62" s="396"/>
    </row>
    <row r="63" spans="2:11" ht="18.75">
      <c r="B63" s="396"/>
      <c r="C63" s="397"/>
      <c r="D63" s="397"/>
      <c r="E63" s="396"/>
      <c r="F63" s="396"/>
      <c r="G63" s="396"/>
      <c r="H63" s="396"/>
      <c r="I63" s="396"/>
      <c r="J63" s="396"/>
      <c r="K63" s="396"/>
    </row>
    <row r="64" spans="2:11" ht="18.75">
      <c r="B64" s="396"/>
      <c r="C64" s="397"/>
      <c r="D64" s="397"/>
      <c r="E64" s="396"/>
      <c r="F64" s="396"/>
      <c r="G64" s="396"/>
      <c r="H64" s="396"/>
      <c r="I64" s="396"/>
      <c r="J64" s="396"/>
      <c r="K64" s="396"/>
    </row>
    <row r="65" spans="2:11" ht="18.75">
      <c r="B65" s="396"/>
      <c r="C65" s="397"/>
      <c r="D65" s="397"/>
      <c r="E65" s="396"/>
      <c r="F65" s="396"/>
      <c r="G65" s="396"/>
      <c r="H65" s="396"/>
      <c r="I65" s="396"/>
      <c r="J65" s="396"/>
      <c r="K65" s="396"/>
    </row>
    <row r="66" spans="2:11" ht="18.75">
      <c r="B66" s="396"/>
      <c r="C66" s="397"/>
      <c r="D66" s="397"/>
      <c r="E66" s="396"/>
      <c r="F66" s="396"/>
      <c r="G66" s="396"/>
      <c r="H66" s="396"/>
      <c r="I66" s="396"/>
      <c r="J66" s="396"/>
      <c r="K66" s="396"/>
    </row>
    <row r="67" spans="2:11" ht="18.75">
      <c r="B67" s="396"/>
      <c r="C67" s="397"/>
      <c r="D67" s="397"/>
      <c r="E67" s="396"/>
      <c r="F67" s="396"/>
      <c r="G67" s="396"/>
      <c r="H67" s="396"/>
      <c r="I67" s="396"/>
      <c r="J67" s="396"/>
      <c r="K67" s="396"/>
    </row>
    <row r="68" spans="2:11" ht="18.75">
      <c r="B68" s="396"/>
      <c r="C68" s="397"/>
      <c r="D68" s="397"/>
      <c r="E68" s="396"/>
      <c r="F68" s="396"/>
      <c r="G68" s="396"/>
      <c r="H68" s="396"/>
      <c r="I68" s="396"/>
      <c r="J68" s="396"/>
      <c r="K68" s="396"/>
    </row>
    <row r="69" spans="2:11" ht="18.75">
      <c r="B69" s="396"/>
      <c r="C69" s="397"/>
      <c r="D69" s="397"/>
      <c r="E69" s="396"/>
      <c r="F69" s="396"/>
      <c r="G69" s="396"/>
      <c r="H69" s="396"/>
      <c r="I69" s="396"/>
      <c r="J69" s="396"/>
      <c r="K69" s="396"/>
    </row>
    <row r="70" spans="2:11" ht="18.75">
      <c r="B70" s="396"/>
      <c r="C70" s="397"/>
      <c r="D70" s="397"/>
      <c r="E70" s="396"/>
      <c r="F70" s="396"/>
      <c r="G70" s="396"/>
      <c r="H70" s="396"/>
      <c r="I70" s="396"/>
      <c r="J70" s="396"/>
      <c r="K70" s="396"/>
    </row>
    <row r="71" spans="2:11" ht="18.75">
      <c r="B71" s="396"/>
      <c r="C71" s="397"/>
      <c r="D71" s="397"/>
      <c r="E71" s="396"/>
      <c r="F71" s="396"/>
      <c r="G71" s="396"/>
      <c r="H71" s="396"/>
      <c r="I71" s="396"/>
      <c r="J71" s="396"/>
      <c r="K71" s="396"/>
    </row>
    <row r="72" spans="2:11" ht="18.75">
      <c r="B72" s="396"/>
      <c r="C72" s="397"/>
      <c r="D72" s="397"/>
      <c r="E72" s="396"/>
      <c r="F72" s="396"/>
      <c r="G72" s="396"/>
      <c r="H72" s="396"/>
      <c r="I72" s="396"/>
      <c r="J72" s="396"/>
      <c r="K72" s="396"/>
    </row>
    <row r="73" spans="2:11" ht="18.75">
      <c r="B73" s="396"/>
      <c r="C73" s="397"/>
      <c r="D73" s="397"/>
      <c r="E73" s="396"/>
      <c r="F73" s="396"/>
      <c r="G73" s="396"/>
      <c r="H73" s="396"/>
      <c r="I73" s="396"/>
      <c r="J73" s="396"/>
      <c r="K73" s="396"/>
    </row>
    <row r="74" spans="2:11" ht="18.75">
      <c r="B74" s="396"/>
      <c r="C74" s="397"/>
      <c r="D74" s="397"/>
      <c r="E74" s="396"/>
      <c r="F74" s="396"/>
      <c r="G74" s="396"/>
      <c r="H74" s="396"/>
      <c r="I74" s="396"/>
      <c r="J74" s="396"/>
      <c r="K74" s="396"/>
    </row>
    <row r="75" spans="2:11" ht="18.75">
      <c r="B75" s="396"/>
      <c r="C75" s="397"/>
      <c r="D75" s="397"/>
      <c r="E75" s="396"/>
      <c r="F75" s="396"/>
      <c r="G75" s="396"/>
      <c r="H75" s="396"/>
      <c r="I75" s="396"/>
      <c r="J75" s="396"/>
      <c r="K75" s="396"/>
    </row>
    <row r="76" spans="2:11" ht="18.75">
      <c r="B76" s="396"/>
      <c r="C76" s="397"/>
      <c r="D76" s="397"/>
      <c r="E76" s="396"/>
      <c r="F76" s="396"/>
      <c r="G76" s="396"/>
      <c r="H76" s="396"/>
      <c r="I76" s="396"/>
      <c r="J76" s="396"/>
      <c r="K76" s="396"/>
    </row>
    <row r="77" spans="2:11" ht="18.75">
      <c r="B77" s="396"/>
      <c r="C77" s="397"/>
      <c r="D77" s="397"/>
      <c r="E77" s="396"/>
      <c r="F77" s="396"/>
      <c r="G77" s="396"/>
      <c r="H77" s="396"/>
      <c r="I77" s="396"/>
      <c r="J77" s="396"/>
      <c r="K77" s="396"/>
    </row>
    <row r="78" spans="2:11" ht="18.75">
      <c r="B78" s="396"/>
      <c r="C78" s="397"/>
      <c r="D78" s="397"/>
      <c r="E78" s="396"/>
      <c r="F78" s="396"/>
      <c r="G78" s="396"/>
      <c r="H78" s="396"/>
      <c r="I78" s="396"/>
      <c r="J78" s="396"/>
      <c r="K78" s="396"/>
    </row>
    <row r="79" spans="2:11" ht="18.75">
      <c r="B79" s="396"/>
      <c r="C79" s="397"/>
      <c r="D79" s="397"/>
      <c r="E79" s="396"/>
      <c r="F79" s="396"/>
      <c r="G79" s="396"/>
      <c r="H79" s="396"/>
      <c r="I79" s="396"/>
      <c r="J79" s="396"/>
      <c r="K79" s="396"/>
    </row>
    <row r="80" spans="2:11" ht="18.75">
      <c r="B80" s="396"/>
      <c r="C80" s="397"/>
      <c r="D80" s="397"/>
      <c r="E80" s="396"/>
      <c r="F80" s="396"/>
      <c r="G80" s="396"/>
      <c r="H80" s="396"/>
      <c r="I80" s="396"/>
      <c r="J80" s="396"/>
      <c r="K80" s="396"/>
    </row>
    <row r="81" spans="2:11" ht="18.75">
      <c r="B81" s="396"/>
      <c r="C81" s="397"/>
      <c r="D81" s="397"/>
      <c r="E81" s="396"/>
      <c r="F81" s="396"/>
      <c r="G81" s="396"/>
      <c r="H81" s="396"/>
      <c r="I81" s="396"/>
      <c r="J81" s="396"/>
      <c r="K81" s="396"/>
    </row>
    <row r="82" spans="2:11" ht="18.75">
      <c r="B82" s="396"/>
      <c r="C82" s="397"/>
      <c r="D82" s="397"/>
      <c r="E82" s="396"/>
      <c r="F82" s="396"/>
      <c r="G82" s="396"/>
      <c r="H82" s="396"/>
      <c r="I82" s="396"/>
      <c r="J82" s="396"/>
      <c r="K82" s="396"/>
    </row>
    <row r="83" spans="2:11" ht="18.75">
      <c r="B83" s="396"/>
      <c r="C83" s="397"/>
      <c r="D83" s="397"/>
      <c r="E83" s="396"/>
      <c r="F83" s="396"/>
      <c r="G83" s="396"/>
      <c r="H83" s="396"/>
      <c r="I83" s="396"/>
      <c r="J83" s="396"/>
      <c r="K83" s="396"/>
    </row>
    <row r="84" spans="2:11" ht="18.75">
      <c r="B84" s="396"/>
      <c r="C84" s="397"/>
      <c r="D84" s="397"/>
      <c r="E84" s="396"/>
      <c r="F84" s="396"/>
      <c r="G84" s="396"/>
      <c r="H84" s="396"/>
      <c r="I84" s="396"/>
      <c r="J84" s="396"/>
      <c r="K84" s="396"/>
    </row>
    <row r="85" spans="2:11" ht="18.75">
      <c r="B85" s="396"/>
      <c r="C85" s="397"/>
      <c r="D85" s="397"/>
      <c r="E85" s="396"/>
      <c r="F85" s="396"/>
      <c r="G85" s="396"/>
      <c r="H85" s="396"/>
      <c r="I85" s="396"/>
      <c r="J85" s="396"/>
      <c r="K85" s="396"/>
    </row>
    <row r="86" spans="2:11" ht="18.75">
      <c r="B86" s="396"/>
      <c r="C86" s="397"/>
      <c r="D86" s="397"/>
      <c r="E86" s="396"/>
      <c r="F86" s="396"/>
      <c r="G86" s="396"/>
      <c r="H86" s="396"/>
      <c r="I86" s="396"/>
      <c r="J86" s="396"/>
      <c r="K86" s="396"/>
    </row>
    <row r="87" spans="2:11" ht="18.75">
      <c r="B87" s="396"/>
      <c r="C87" s="397"/>
      <c r="D87" s="397"/>
      <c r="E87" s="396"/>
      <c r="F87" s="396"/>
      <c r="G87" s="396"/>
      <c r="H87" s="396"/>
      <c r="I87" s="396"/>
      <c r="J87" s="396"/>
      <c r="K87" s="396"/>
    </row>
    <row r="88" spans="2:11" ht="18.75">
      <c r="B88" s="396"/>
      <c r="C88" s="397"/>
      <c r="D88" s="397"/>
      <c r="E88" s="396"/>
      <c r="F88" s="396"/>
      <c r="G88" s="396"/>
      <c r="H88" s="396"/>
      <c r="I88" s="396"/>
      <c r="J88" s="396"/>
      <c r="K88" s="396"/>
    </row>
    <row r="89" spans="2:11" ht="18.75">
      <c r="B89" s="396"/>
      <c r="C89" s="397"/>
      <c r="D89" s="397"/>
      <c r="E89" s="396"/>
      <c r="F89" s="396"/>
      <c r="G89" s="396"/>
      <c r="H89" s="396"/>
      <c r="I89" s="396"/>
      <c r="J89" s="396"/>
      <c r="K89" s="396"/>
    </row>
    <row r="90" spans="2:11" ht="18.75">
      <c r="B90" s="396"/>
      <c r="C90" s="397"/>
      <c r="D90" s="397"/>
      <c r="E90" s="396"/>
      <c r="F90" s="396"/>
      <c r="G90" s="396"/>
      <c r="H90" s="396"/>
      <c r="I90" s="396"/>
      <c r="J90" s="396"/>
      <c r="K90" s="396"/>
    </row>
    <row r="91" spans="2:11" ht="18.75">
      <c r="B91" s="396"/>
      <c r="C91" s="397"/>
      <c r="D91" s="397"/>
      <c r="E91" s="396"/>
      <c r="F91" s="396"/>
      <c r="G91" s="396"/>
      <c r="H91" s="396"/>
      <c r="I91" s="396"/>
      <c r="J91" s="396"/>
      <c r="K91" s="396"/>
    </row>
    <row r="92" spans="2:11" ht="18.75">
      <c r="B92" s="396"/>
      <c r="C92" s="397"/>
      <c r="D92" s="397"/>
      <c r="E92" s="396"/>
      <c r="F92" s="396"/>
      <c r="G92" s="396"/>
      <c r="H92" s="396"/>
      <c r="I92" s="396"/>
      <c r="J92" s="396"/>
      <c r="K92" s="396"/>
    </row>
    <row r="93" spans="2:11" ht="18.75">
      <c r="B93" s="396"/>
      <c r="C93" s="397"/>
      <c r="D93" s="397"/>
      <c r="E93" s="396"/>
      <c r="F93" s="396"/>
      <c r="G93" s="396"/>
      <c r="H93" s="396"/>
      <c r="I93" s="396"/>
      <c r="J93" s="396"/>
      <c r="K93" s="396"/>
    </row>
    <row r="94" spans="2:11" ht="18.75">
      <c r="B94" s="396"/>
      <c r="C94" s="397"/>
      <c r="D94" s="397"/>
      <c r="E94" s="396"/>
      <c r="F94" s="396"/>
      <c r="G94" s="396"/>
      <c r="H94" s="396"/>
      <c r="I94" s="396"/>
      <c r="J94" s="396"/>
      <c r="K94" s="396"/>
    </row>
    <row r="95" spans="2:11" ht="18.75">
      <c r="B95" s="396"/>
      <c r="C95" s="397"/>
      <c r="D95" s="397"/>
      <c r="E95" s="396"/>
      <c r="F95" s="396"/>
      <c r="G95" s="396"/>
      <c r="H95" s="396"/>
      <c r="I95" s="396"/>
      <c r="J95" s="396"/>
      <c r="K95" s="396"/>
    </row>
    <row r="96" spans="2:11" ht="18.75">
      <c r="B96" s="396"/>
      <c r="C96" s="397"/>
      <c r="D96" s="397"/>
      <c r="E96" s="396"/>
      <c r="F96" s="396"/>
      <c r="G96" s="396"/>
      <c r="H96" s="396"/>
      <c r="I96" s="396"/>
      <c r="J96" s="396"/>
      <c r="K96" s="396"/>
    </row>
    <row r="97" spans="2:11" ht="18.75">
      <c r="B97" s="396"/>
      <c r="C97" s="397"/>
      <c r="D97" s="397"/>
      <c r="E97" s="396"/>
      <c r="F97" s="396"/>
      <c r="G97" s="396"/>
      <c r="H97" s="396"/>
      <c r="I97" s="396"/>
      <c r="J97" s="396"/>
      <c r="K97" s="396"/>
    </row>
    <row r="98" spans="2:11" ht="18.75">
      <c r="B98" s="396"/>
      <c r="C98" s="397"/>
      <c r="D98" s="397"/>
      <c r="E98" s="396"/>
      <c r="F98" s="396"/>
      <c r="G98" s="396"/>
      <c r="H98" s="396"/>
      <c r="I98" s="396"/>
      <c r="J98" s="396"/>
      <c r="K98" s="396"/>
    </row>
    <row r="99" spans="2:11" ht="18.75">
      <c r="B99" s="396"/>
      <c r="C99" s="397"/>
      <c r="D99" s="397"/>
      <c r="E99" s="396"/>
      <c r="F99" s="396"/>
      <c r="G99" s="396"/>
      <c r="H99" s="396"/>
      <c r="I99" s="396"/>
      <c r="J99" s="396"/>
      <c r="K99" s="396"/>
    </row>
    <row r="100" spans="2:11" ht="18.75">
      <c r="B100" s="396"/>
      <c r="C100" s="397"/>
      <c r="D100" s="397"/>
      <c r="E100" s="396"/>
      <c r="F100" s="396"/>
      <c r="G100" s="396"/>
      <c r="H100" s="396"/>
      <c r="I100" s="396"/>
      <c r="J100" s="396"/>
      <c r="K100" s="396"/>
    </row>
    <row r="101" spans="2:11" ht="18.75">
      <c r="B101" s="396"/>
      <c r="C101" s="397"/>
      <c r="D101" s="397"/>
      <c r="E101" s="396"/>
      <c r="F101" s="396"/>
      <c r="G101" s="396"/>
      <c r="H101" s="396"/>
      <c r="I101" s="396"/>
      <c r="J101" s="396"/>
      <c r="K101" s="396"/>
    </row>
    <row r="102" spans="2:11" ht="18.75">
      <c r="B102" s="396"/>
      <c r="C102" s="397"/>
      <c r="D102" s="397"/>
      <c r="E102" s="396"/>
      <c r="F102" s="396"/>
      <c r="G102" s="396"/>
      <c r="H102" s="396"/>
      <c r="I102" s="396"/>
      <c r="J102" s="396"/>
      <c r="K102" s="396"/>
    </row>
    <row r="103" spans="2:11" ht="18.75">
      <c r="B103" s="396"/>
      <c r="C103" s="397"/>
      <c r="D103" s="397"/>
      <c r="E103" s="396"/>
      <c r="F103" s="396"/>
      <c r="G103" s="396"/>
      <c r="H103" s="396"/>
      <c r="I103" s="396"/>
      <c r="J103" s="396"/>
      <c r="K103" s="396"/>
    </row>
    <row r="104" spans="2:11" ht="18.75">
      <c r="B104" s="396"/>
      <c r="C104" s="397"/>
      <c r="D104" s="397"/>
      <c r="E104" s="396"/>
      <c r="F104" s="396"/>
      <c r="G104" s="396"/>
      <c r="H104" s="396"/>
      <c r="I104" s="396"/>
      <c r="J104" s="396"/>
      <c r="K104" s="396"/>
    </row>
    <row r="105" spans="2:11" ht="18.75">
      <c r="B105" s="396"/>
      <c r="C105" s="397"/>
      <c r="D105" s="397"/>
      <c r="E105" s="396"/>
      <c r="F105" s="396"/>
      <c r="G105" s="396"/>
      <c r="H105" s="396"/>
      <c r="I105" s="396"/>
      <c r="J105" s="396"/>
      <c r="K105" s="396"/>
    </row>
    <row r="106" spans="2:11" ht="18.75">
      <c r="B106" s="396"/>
      <c r="C106" s="397"/>
      <c r="D106" s="397"/>
      <c r="E106" s="396"/>
      <c r="F106" s="396"/>
      <c r="G106" s="396"/>
      <c r="H106" s="396"/>
      <c r="I106" s="396"/>
      <c r="J106" s="396"/>
      <c r="K106" s="396"/>
    </row>
    <row r="107" spans="2:11" ht="18.75">
      <c r="B107" s="396"/>
      <c r="C107" s="397"/>
      <c r="D107" s="397"/>
      <c r="E107" s="396"/>
      <c r="F107" s="396"/>
      <c r="G107" s="396"/>
      <c r="H107" s="396"/>
      <c r="I107" s="396"/>
      <c r="J107" s="396"/>
      <c r="K107" s="396"/>
    </row>
    <row r="108" spans="2:11" ht="18.75">
      <c r="B108" s="396"/>
      <c r="C108" s="397"/>
      <c r="D108" s="397"/>
      <c r="E108" s="396"/>
      <c r="F108" s="396"/>
      <c r="G108" s="396"/>
      <c r="H108" s="396"/>
      <c r="I108" s="396"/>
      <c r="J108" s="396"/>
      <c r="K108" s="396"/>
    </row>
    <row r="109" spans="2:11" ht="18.75">
      <c r="B109" s="396"/>
      <c r="C109" s="397"/>
      <c r="D109" s="397"/>
      <c r="E109" s="396"/>
      <c r="F109" s="396"/>
      <c r="G109" s="396"/>
      <c r="H109" s="396"/>
      <c r="I109" s="396"/>
      <c r="J109" s="396"/>
      <c r="K109" s="396"/>
    </row>
    <row r="110" spans="2:11" ht="18.75">
      <c r="B110" s="396"/>
      <c r="C110" s="397"/>
      <c r="D110" s="397"/>
      <c r="E110" s="396"/>
      <c r="F110" s="396"/>
      <c r="G110" s="396"/>
      <c r="H110" s="396"/>
      <c r="I110" s="396"/>
      <c r="J110" s="396"/>
      <c r="K110" s="396"/>
    </row>
    <row r="111" spans="2:11" ht="18.75">
      <c r="B111" s="396"/>
      <c r="C111" s="397"/>
      <c r="D111" s="397"/>
      <c r="E111" s="396"/>
      <c r="F111" s="396"/>
      <c r="G111" s="396"/>
      <c r="H111" s="396"/>
      <c r="I111" s="396"/>
      <c r="J111" s="396"/>
      <c r="K111" s="396"/>
    </row>
    <row r="112" spans="2:11" ht="18.75">
      <c r="B112" s="396"/>
      <c r="C112" s="397"/>
      <c r="D112" s="397"/>
      <c r="E112" s="396"/>
      <c r="F112" s="396"/>
      <c r="G112" s="396"/>
      <c r="H112" s="396"/>
      <c r="I112" s="396"/>
      <c r="J112" s="396"/>
      <c r="K112" s="396"/>
    </row>
    <row r="113" spans="2:11" ht="18.75">
      <c r="B113" s="396"/>
      <c r="C113" s="397"/>
      <c r="D113" s="397"/>
      <c r="E113" s="396"/>
      <c r="F113" s="396"/>
      <c r="G113" s="396"/>
      <c r="H113" s="396"/>
      <c r="I113" s="396"/>
      <c r="J113" s="396"/>
      <c r="K113" s="396"/>
    </row>
    <row r="114" spans="2:11" ht="18.75">
      <c r="B114" s="396"/>
      <c r="C114" s="397"/>
      <c r="D114" s="397"/>
      <c r="E114" s="396"/>
      <c r="F114" s="396"/>
      <c r="G114" s="396"/>
      <c r="H114" s="396"/>
      <c r="I114" s="396"/>
      <c r="J114" s="396"/>
      <c r="K114" s="396"/>
    </row>
    <row r="115" spans="2:11" ht="18.75">
      <c r="B115" s="396"/>
      <c r="C115" s="397"/>
      <c r="D115" s="397"/>
      <c r="E115" s="396"/>
      <c r="F115" s="396"/>
      <c r="G115" s="396"/>
      <c r="H115" s="396"/>
      <c r="I115" s="396"/>
      <c r="J115" s="396"/>
      <c r="K115" s="396"/>
    </row>
    <row r="116" spans="2:11" ht="18.75">
      <c r="B116" s="396"/>
      <c r="C116" s="397"/>
      <c r="D116" s="397"/>
      <c r="E116" s="396"/>
      <c r="F116" s="396"/>
      <c r="G116" s="396"/>
      <c r="H116" s="396"/>
      <c r="I116" s="396"/>
      <c r="J116" s="396"/>
      <c r="K116" s="396"/>
    </row>
    <row r="117" spans="2:11" ht="18.75">
      <c r="B117" s="396"/>
      <c r="C117" s="397"/>
      <c r="D117" s="397"/>
      <c r="E117" s="396"/>
      <c r="F117" s="396"/>
      <c r="G117" s="396"/>
      <c r="H117" s="396"/>
      <c r="I117" s="396"/>
      <c r="J117" s="396"/>
      <c r="K117" s="396"/>
    </row>
    <row r="118" spans="2:11" ht="18.75">
      <c r="B118" s="396"/>
      <c r="C118" s="397"/>
      <c r="D118" s="397"/>
      <c r="E118" s="396"/>
      <c r="F118" s="396"/>
      <c r="G118" s="396"/>
      <c r="H118" s="396"/>
      <c r="I118" s="396"/>
      <c r="J118" s="396"/>
      <c r="K118" s="396"/>
    </row>
    <row r="119" spans="2:11" ht="18.75">
      <c r="B119" s="396"/>
      <c r="C119" s="397"/>
      <c r="D119" s="397"/>
      <c r="E119" s="396"/>
      <c r="F119" s="396"/>
      <c r="G119" s="396"/>
      <c r="H119" s="396"/>
      <c r="I119" s="396"/>
      <c r="J119" s="396"/>
      <c r="K119" s="396"/>
    </row>
    <row r="120" spans="2:11" ht="18.75">
      <c r="B120" s="396"/>
      <c r="C120" s="397"/>
      <c r="D120" s="397"/>
      <c r="E120" s="396"/>
      <c r="F120" s="396"/>
      <c r="G120" s="396"/>
      <c r="H120" s="396"/>
      <c r="I120" s="396"/>
      <c r="J120" s="396"/>
      <c r="K120" s="396"/>
    </row>
    <row r="121" spans="2:11" ht="18.75">
      <c r="B121" s="396"/>
      <c r="C121" s="397"/>
      <c r="D121" s="397"/>
      <c r="E121" s="396"/>
      <c r="F121" s="396"/>
      <c r="G121" s="396"/>
      <c r="H121" s="396"/>
      <c r="I121" s="396"/>
      <c r="J121" s="396"/>
      <c r="K121" s="396"/>
    </row>
    <row r="122" spans="2:11" ht="18.75">
      <c r="B122" s="396"/>
      <c r="C122" s="397"/>
      <c r="D122" s="397"/>
      <c r="E122" s="396"/>
      <c r="F122" s="396"/>
      <c r="G122" s="396"/>
      <c r="H122" s="396"/>
      <c r="I122" s="396"/>
      <c r="J122" s="396"/>
      <c r="K122" s="396"/>
    </row>
    <row r="123" spans="2:11" ht="18.75">
      <c r="B123" s="396"/>
      <c r="C123" s="397"/>
      <c r="D123" s="397"/>
      <c r="E123" s="396"/>
      <c r="F123" s="396"/>
      <c r="G123" s="396"/>
      <c r="H123" s="396"/>
      <c r="I123" s="396"/>
      <c r="J123" s="396"/>
      <c r="K123" s="396"/>
    </row>
    <row r="124" spans="2:11" ht="18.75">
      <c r="B124" s="396"/>
      <c r="C124" s="397"/>
      <c r="D124" s="397"/>
      <c r="E124" s="396"/>
      <c r="F124" s="396"/>
      <c r="G124" s="396"/>
      <c r="H124" s="396"/>
      <c r="I124" s="396"/>
      <c r="J124" s="396"/>
      <c r="K124" s="396"/>
    </row>
    <row r="125" spans="2:11" ht="18.75">
      <c r="B125" s="396"/>
      <c r="C125" s="397"/>
      <c r="D125" s="397"/>
      <c r="E125" s="396"/>
      <c r="F125" s="396"/>
      <c r="G125" s="396"/>
      <c r="H125" s="396"/>
      <c r="I125" s="396"/>
      <c r="J125" s="396"/>
      <c r="K125" s="396"/>
    </row>
    <row r="126" spans="2:11" ht="18.75">
      <c r="B126" s="396"/>
      <c r="C126" s="397"/>
      <c r="D126" s="397"/>
      <c r="E126" s="396"/>
      <c r="F126" s="396"/>
      <c r="G126" s="396"/>
      <c r="H126" s="396"/>
      <c r="I126" s="396"/>
      <c r="J126" s="396"/>
      <c r="K126" s="396"/>
    </row>
    <row r="127" spans="2:11" ht="18.75">
      <c r="B127" s="396"/>
      <c r="C127" s="397"/>
      <c r="D127" s="397"/>
      <c r="E127" s="396"/>
      <c r="F127" s="396"/>
      <c r="G127" s="396"/>
      <c r="H127" s="396"/>
      <c r="I127" s="396"/>
      <c r="J127" s="396"/>
      <c r="K127" s="396"/>
    </row>
    <row r="128" spans="2:11" ht="18.75">
      <c r="B128" s="396"/>
      <c r="C128" s="397"/>
      <c r="D128" s="397"/>
      <c r="E128" s="396"/>
      <c r="F128" s="396"/>
      <c r="G128" s="396"/>
      <c r="H128" s="396"/>
      <c r="I128" s="396"/>
      <c r="J128" s="396"/>
      <c r="K128" s="396"/>
    </row>
    <row r="129" spans="2:11" ht="18.75">
      <c r="B129" s="396"/>
      <c r="C129" s="397"/>
      <c r="D129" s="397"/>
      <c r="E129" s="396"/>
      <c r="F129" s="396"/>
      <c r="G129" s="396"/>
      <c r="H129" s="396"/>
      <c r="I129" s="396"/>
      <c r="J129" s="396"/>
      <c r="K129" s="396"/>
    </row>
    <row r="130" spans="2:11" ht="18.75">
      <c r="B130" s="396"/>
      <c r="C130" s="397"/>
      <c r="D130" s="397"/>
      <c r="E130" s="396"/>
      <c r="F130" s="396"/>
      <c r="G130" s="396"/>
      <c r="H130" s="396"/>
      <c r="I130" s="396"/>
      <c r="J130" s="396"/>
      <c r="K130" s="396"/>
    </row>
    <row r="131" spans="2:11" ht="18.75">
      <c r="B131" s="396"/>
      <c r="C131" s="397"/>
      <c r="D131" s="397"/>
      <c r="E131" s="396"/>
      <c r="F131" s="396"/>
      <c r="G131" s="396"/>
      <c r="H131" s="396"/>
      <c r="I131" s="396"/>
      <c r="J131" s="396"/>
      <c r="K131" s="396"/>
    </row>
    <row r="132" spans="2:11" ht="18.75">
      <c r="B132" s="396"/>
      <c r="C132" s="397"/>
      <c r="D132" s="397"/>
      <c r="E132" s="396"/>
      <c r="F132" s="396"/>
      <c r="G132" s="396"/>
      <c r="H132" s="396"/>
      <c r="I132" s="396"/>
      <c r="J132" s="396"/>
      <c r="K132" s="396"/>
    </row>
    <row r="133" spans="2:11" ht="18.75">
      <c r="B133" s="396"/>
      <c r="C133" s="397"/>
      <c r="D133" s="397"/>
      <c r="E133" s="396"/>
      <c r="F133" s="396"/>
      <c r="G133" s="396"/>
      <c r="H133" s="396"/>
      <c r="I133" s="396"/>
      <c r="J133" s="396"/>
      <c r="K133" s="396"/>
    </row>
    <row r="134" spans="2:11" ht="18.75">
      <c r="B134" s="396"/>
      <c r="C134" s="397"/>
      <c r="D134" s="397"/>
      <c r="E134" s="396"/>
      <c r="F134" s="396"/>
      <c r="G134" s="396"/>
      <c r="H134" s="396"/>
      <c r="I134" s="396"/>
      <c r="J134" s="396"/>
      <c r="K134" s="396"/>
    </row>
    <row r="135" spans="2:11" ht="18.75">
      <c r="B135" s="396"/>
      <c r="C135" s="397"/>
      <c r="D135" s="397"/>
      <c r="E135" s="396"/>
      <c r="F135" s="396"/>
      <c r="G135" s="396"/>
      <c r="H135" s="396"/>
      <c r="I135" s="396"/>
      <c r="J135" s="396"/>
      <c r="K135" s="396"/>
    </row>
    <row r="136" spans="2:11" ht="18.75">
      <c r="B136" s="396"/>
      <c r="C136" s="397"/>
      <c r="D136" s="397"/>
      <c r="E136" s="396"/>
      <c r="F136" s="396"/>
      <c r="G136" s="396"/>
      <c r="H136" s="396"/>
      <c r="I136" s="396"/>
      <c r="J136" s="396"/>
      <c r="K136" s="396"/>
    </row>
    <row r="137" spans="2:11" ht="18.75">
      <c r="B137" s="396"/>
      <c r="C137" s="397"/>
      <c r="D137" s="397"/>
      <c r="E137" s="396"/>
      <c r="F137" s="396"/>
      <c r="G137" s="396"/>
      <c r="H137" s="396"/>
      <c r="I137" s="396"/>
      <c r="J137" s="396"/>
      <c r="K137" s="396"/>
    </row>
    <row r="138" spans="2:11" ht="18.75">
      <c r="B138" s="396"/>
      <c r="C138" s="397"/>
      <c r="D138" s="397"/>
      <c r="E138" s="396"/>
      <c r="F138" s="396"/>
      <c r="G138" s="396"/>
      <c r="H138" s="396"/>
      <c r="I138" s="396"/>
      <c r="J138" s="396"/>
      <c r="K138" s="396"/>
    </row>
    <row r="139" spans="2:11" ht="18.75">
      <c r="B139" s="396"/>
      <c r="C139" s="397"/>
      <c r="D139" s="397"/>
      <c r="E139" s="396"/>
      <c r="F139" s="396"/>
      <c r="G139" s="396"/>
      <c r="H139" s="396"/>
      <c r="I139" s="396"/>
      <c r="J139" s="396"/>
      <c r="K139" s="396"/>
    </row>
    <row r="140" spans="2:11" ht="18.75">
      <c r="B140" s="396"/>
      <c r="C140" s="397"/>
      <c r="D140" s="397"/>
      <c r="E140" s="396"/>
      <c r="F140" s="396"/>
      <c r="G140" s="396"/>
      <c r="H140" s="396"/>
      <c r="I140" s="396"/>
      <c r="J140" s="396"/>
      <c r="K140" s="396"/>
    </row>
    <row r="141" spans="2:11" ht="18.75">
      <c r="B141" s="396"/>
      <c r="C141" s="397"/>
      <c r="D141" s="397"/>
      <c r="E141" s="396"/>
      <c r="F141" s="396"/>
      <c r="G141" s="396"/>
      <c r="H141" s="396"/>
      <c r="I141" s="396"/>
      <c r="J141" s="396"/>
      <c r="K141" s="396"/>
    </row>
    <row r="142" spans="2:11" ht="18.75">
      <c r="B142" s="396"/>
      <c r="C142" s="397"/>
      <c r="D142" s="397"/>
      <c r="E142" s="396"/>
      <c r="F142" s="396"/>
      <c r="G142" s="396"/>
      <c r="H142" s="396"/>
      <c r="I142" s="396"/>
      <c r="J142" s="396"/>
      <c r="K142" s="396"/>
    </row>
    <row r="143" spans="2:11" ht="18.75">
      <c r="B143" s="396"/>
      <c r="C143" s="397"/>
      <c r="D143" s="397"/>
      <c r="E143" s="396"/>
      <c r="F143" s="396"/>
      <c r="G143" s="396"/>
      <c r="H143" s="396"/>
      <c r="I143" s="396"/>
      <c r="J143" s="396"/>
      <c r="K143" s="396"/>
    </row>
    <row r="144" spans="2:11" ht="18.75">
      <c r="B144" s="396"/>
      <c r="C144" s="397"/>
      <c r="D144" s="397"/>
      <c r="E144" s="396"/>
      <c r="F144" s="396"/>
      <c r="G144" s="396"/>
      <c r="H144" s="396"/>
      <c r="I144" s="396"/>
      <c r="J144" s="396"/>
      <c r="K144" s="396"/>
    </row>
    <row r="145" spans="2:11" ht="18.75">
      <c r="B145" s="396"/>
      <c r="C145" s="397"/>
      <c r="D145" s="397"/>
      <c r="E145" s="396"/>
      <c r="F145" s="396"/>
      <c r="G145" s="396"/>
      <c r="H145" s="396"/>
      <c r="I145" s="396"/>
      <c r="J145" s="396"/>
      <c r="K145" s="396"/>
    </row>
    <row r="146" spans="2:11" ht="18.75">
      <c r="B146" s="396"/>
      <c r="C146" s="397"/>
      <c r="D146" s="397"/>
      <c r="E146" s="396"/>
      <c r="F146" s="396"/>
      <c r="G146" s="396"/>
      <c r="H146" s="396"/>
      <c r="I146" s="396"/>
      <c r="J146" s="396"/>
      <c r="K146" s="396"/>
    </row>
    <row r="147" spans="2:11" ht="18.75">
      <c r="B147" s="396"/>
      <c r="C147" s="397"/>
      <c r="D147" s="397"/>
      <c r="E147" s="396"/>
      <c r="F147" s="396"/>
      <c r="G147" s="396"/>
      <c r="H147" s="396"/>
      <c r="I147" s="396"/>
      <c r="J147" s="396"/>
      <c r="K147" s="396"/>
    </row>
    <row r="148" spans="2:11" ht="18.75">
      <c r="B148" s="396"/>
      <c r="C148" s="397"/>
      <c r="D148" s="397"/>
      <c r="E148" s="396"/>
      <c r="F148" s="396"/>
      <c r="G148" s="396"/>
      <c r="H148" s="396"/>
      <c r="I148" s="396"/>
      <c r="J148" s="396"/>
      <c r="K148" s="396"/>
    </row>
    <row r="149" spans="2:11" ht="18.75">
      <c r="B149" s="396"/>
      <c r="C149" s="397"/>
      <c r="D149" s="397"/>
      <c r="E149" s="396"/>
      <c r="F149" s="396"/>
      <c r="G149" s="396"/>
      <c r="H149" s="396"/>
      <c r="I149" s="396"/>
      <c r="J149" s="396"/>
      <c r="K149" s="396"/>
    </row>
    <row r="150" spans="2:11" ht="18.75">
      <c r="B150" s="396"/>
      <c r="C150" s="397"/>
      <c r="D150" s="397"/>
      <c r="E150" s="396"/>
      <c r="F150" s="396"/>
      <c r="G150" s="396"/>
      <c r="H150" s="396"/>
      <c r="I150" s="396"/>
      <c r="J150" s="396"/>
      <c r="K150" s="396"/>
    </row>
    <row r="151" spans="2:11" ht="18.75">
      <c r="B151" s="396"/>
      <c r="C151" s="397"/>
      <c r="D151" s="397"/>
      <c r="E151" s="396"/>
      <c r="F151" s="396"/>
      <c r="G151" s="396"/>
      <c r="H151" s="396"/>
      <c r="I151" s="396"/>
      <c r="J151" s="396"/>
      <c r="K151" s="396"/>
    </row>
    <row r="152" spans="2:11" ht="18.75">
      <c r="B152" s="396"/>
      <c r="C152" s="397"/>
      <c r="D152" s="397"/>
      <c r="E152" s="396"/>
      <c r="F152" s="396"/>
      <c r="G152" s="396"/>
      <c r="H152" s="396"/>
      <c r="I152" s="396"/>
      <c r="J152" s="396"/>
      <c r="K152" s="396"/>
    </row>
    <row r="153" spans="2:11" ht="18.75">
      <c r="B153" s="396"/>
      <c r="C153" s="397"/>
      <c r="D153" s="397"/>
      <c r="E153" s="396"/>
      <c r="F153" s="396"/>
      <c r="G153" s="396"/>
      <c r="H153" s="396"/>
      <c r="I153" s="396"/>
      <c r="J153" s="396"/>
      <c r="K153" s="396"/>
    </row>
    <row r="154" spans="2:11" ht="18.75">
      <c r="B154" s="396"/>
      <c r="C154" s="397"/>
      <c r="D154" s="397"/>
      <c r="E154" s="396"/>
      <c r="F154" s="396"/>
      <c r="G154" s="396"/>
      <c r="H154" s="396"/>
      <c r="I154" s="396"/>
      <c r="J154" s="396"/>
      <c r="K154" s="396"/>
    </row>
    <row r="155" spans="2:11" ht="18.75">
      <c r="B155" s="396"/>
      <c r="C155" s="397"/>
      <c r="D155" s="397"/>
      <c r="E155" s="396"/>
      <c r="F155" s="396"/>
      <c r="G155" s="396"/>
      <c r="H155" s="396"/>
      <c r="I155" s="396"/>
      <c r="J155" s="396"/>
      <c r="K155" s="396"/>
    </row>
    <row r="156" spans="2:11" ht="18.75">
      <c r="B156" s="396"/>
      <c r="C156" s="397"/>
      <c r="D156" s="397"/>
      <c r="E156" s="396"/>
      <c r="F156" s="396"/>
      <c r="G156" s="396"/>
      <c r="H156" s="396"/>
      <c r="I156" s="396"/>
      <c r="J156" s="396"/>
      <c r="K156" s="396"/>
    </row>
    <row r="157" spans="2:11" ht="18.75">
      <c r="B157" s="396"/>
      <c r="C157" s="397"/>
      <c r="D157" s="397"/>
      <c r="E157" s="396"/>
      <c r="F157" s="396"/>
      <c r="G157" s="396"/>
      <c r="H157" s="396"/>
      <c r="I157" s="396"/>
      <c r="J157" s="396"/>
      <c r="K157" s="396"/>
    </row>
    <row r="158" spans="2:11" ht="18.75">
      <c r="B158" s="396"/>
      <c r="C158" s="397"/>
      <c r="D158" s="397"/>
      <c r="E158" s="396"/>
      <c r="F158" s="396"/>
      <c r="G158" s="396"/>
      <c r="H158" s="396"/>
      <c r="I158" s="396"/>
      <c r="J158" s="396"/>
      <c r="K158" s="396"/>
    </row>
    <row r="159" spans="2:11" ht="18.75">
      <c r="B159" s="396"/>
      <c r="C159" s="397"/>
      <c r="D159" s="397"/>
      <c r="E159" s="396"/>
      <c r="F159" s="396"/>
      <c r="G159" s="396"/>
      <c r="H159" s="396"/>
      <c r="I159" s="396"/>
      <c r="J159" s="396"/>
      <c r="K159" s="396"/>
    </row>
    <row r="160" spans="2:11" ht="18.75">
      <c r="B160" s="396"/>
      <c r="C160" s="397"/>
      <c r="D160" s="397"/>
      <c r="E160" s="396"/>
      <c r="F160" s="396"/>
      <c r="G160" s="396"/>
      <c r="H160" s="396"/>
      <c r="I160" s="396"/>
      <c r="J160" s="396"/>
      <c r="K160" s="396"/>
    </row>
    <row r="161" spans="2:11" ht="18.75">
      <c r="B161" s="396"/>
      <c r="C161" s="397"/>
      <c r="D161" s="397"/>
      <c r="E161" s="396"/>
      <c r="F161" s="396"/>
      <c r="G161" s="396"/>
      <c r="H161" s="396"/>
      <c r="I161" s="396"/>
      <c r="J161" s="396"/>
      <c r="K161" s="396"/>
    </row>
    <row r="162" spans="2:11" ht="18.75">
      <c r="B162" s="396"/>
      <c r="C162" s="397"/>
      <c r="D162" s="397"/>
      <c r="E162" s="396"/>
      <c r="F162" s="396"/>
      <c r="G162" s="396"/>
      <c r="H162" s="396"/>
      <c r="I162" s="396"/>
      <c r="J162" s="396"/>
      <c r="K162" s="396"/>
    </row>
    <row r="163" spans="2:11" ht="18.75">
      <c r="B163" s="396"/>
      <c r="C163" s="397"/>
      <c r="D163" s="397"/>
      <c r="E163" s="396"/>
      <c r="F163" s="396"/>
      <c r="G163" s="396"/>
      <c r="H163" s="396"/>
      <c r="I163" s="396"/>
      <c r="J163" s="396"/>
      <c r="K163" s="396"/>
    </row>
    <row r="164" spans="2:11" ht="18.75">
      <c r="B164" s="396"/>
      <c r="C164" s="397"/>
      <c r="D164" s="397"/>
      <c r="E164" s="396"/>
      <c r="F164" s="396"/>
      <c r="G164" s="396"/>
      <c r="H164" s="396"/>
      <c r="I164" s="396"/>
      <c r="J164" s="396"/>
      <c r="K164" s="396"/>
    </row>
    <row r="165" spans="2:11" ht="18.75">
      <c r="B165" s="396"/>
      <c r="C165" s="397"/>
      <c r="D165" s="397"/>
      <c r="E165" s="396"/>
      <c r="F165" s="396"/>
      <c r="G165" s="396"/>
      <c r="H165" s="396"/>
      <c r="I165" s="396"/>
      <c r="J165" s="396"/>
      <c r="K165" s="396"/>
    </row>
    <row r="166" spans="2:11" ht="18.75">
      <c r="B166" s="396"/>
      <c r="C166" s="397"/>
      <c r="D166" s="397"/>
      <c r="E166" s="396"/>
      <c r="F166" s="396"/>
      <c r="G166" s="396"/>
      <c r="H166" s="396"/>
      <c r="I166" s="396"/>
      <c r="J166" s="396"/>
      <c r="K166" s="396"/>
    </row>
    <row r="167" spans="2:11" ht="18.75">
      <c r="B167" s="396"/>
      <c r="C167" s="397"/>
      <c r="D167" s="397"/>
      <c r="E167" s="396"/>
      <c r="F167" s="396"/>
      <c r="G167" s="396"/>
      <c r="H167" s="396"/>
      <c r="I167" s="396"/>
      <c r="J167" s="396"/>
      <c r="K167" s="396"/>
    </row>
    <row r="168" spans="2:11" ht="18.75">
      <c r="B168" s="396"/>
      <c r="C168" s="397"/>
      <c r="D168" s="397"/>
      <c r="E168" s="396"/>
      <c r="F168" s="396"/>
      <c r="G168" s="396"/>
      <c r="H168" s="396"/>
      <c r="I168" s="396"/>
      <c r="J168" s="396"/>
      <c r="K168" s="396"/>
    </row>
    <row r="169" spans="2:11" ht="18.75">
      <c r="B169" s="396"/>
      <c r="C169" s="397"/>
      <c r="D169" s="397"/>
      <c r="E169" s="396"/>
      <c r="F169" s="396"/>
      <c r="G169" s="396"/>
      <c r="H169" s="396"/>
      <c r="I169" s="396"/>
      <c r="J169" s="396"/>
      <c r="K169" s="396"/>
    </row>
    <row r="170" spans="2:11" ht="18.75">
      <c r="B170" s="396"/>
      <c r="C170" s="397"/>
      <c r="D170" s="397"/>
      <c r="E170" s="396"/>
      <c r="F170" s="396"/>
      <c r="G170" s="396"/>
      <c r="H170" s="396"/>
      <c r="I170" s="396"/>
      <c r="J170" s="396"/>
      <c r="K170" s="396"/>
    </row>
    <row r="171" spans="2:11" ht="18.75">
      <c r="B171" s="396"/>
      <c r="C171" s="397"/>
      <c r="D171" s="397"/>
      <c r="E171" s="396"/>
      <c r="F171" s="396"/>
      <c r="G171" s="396"/>
      <c r="H171" s="396"/>
      <c r="I171" s="396"/>
      <c r="J171" s="396"/>
      <c r="K171" s="396"/>
    </row>
    <row r="172" spans="2:11" ht="18.75">
      <c r="B172" s="396"/>
      <c r="C172" s="397"/>
      <c r="D172" s="397"/>
      <c r="E172" s="396"/>
      <c r="F172" s="396"/>
      <c r="G172" s="396"/>
      <c r="H172" s="396"/>
      <c r="I172" s="396"/>
      <c r="J172" s="396"/>
      <c r="K172" s="396"/>
    </row>
    <row r="173" spans="2:11" ht="18.75">
      <c r="B173" s="396"/>
      <c r="C173" s="397"/>
      <c r="D173" s="397"/>
      <c r="E173" s="396"/>
      <c r="F173" s="396"/>
      <c r="G173" s="396"/>
      <c r="H173" s="396"/>
      <c r="I173" s="396"/>
      <c r="J173" s="396"/>
      <c r="K173" s="396"/>
    </row>
    <row r="174" spans="2:11" ht="18.75">
      <c r="B174" s="396"/>
      <c r="C174" s="397"/>
      <c r="D174" s="397"/>
      <c r="E174" s="396"/>
      <c r="F174" s="396"/>
      <c r="G174" s="396"/>
      <c r="H174" s="396"/>
      <c r="I174" s="396"/>
      <c r="J174" s="396"/>
      <c r="K174" s="396"/>
    </row>
    <row r="175" spans="2:11" ht="18.75">
      <c r="B175" s="396"/>
      <c r="C175" s="397"/>
      <c r="D175" s="397"/>
      <c r="E175" s="396"/>
      <c r="F175" s="396"/>
      <c r="G175" s="396"/>
      <c r="H175" s="396"/>
      <c r="I175" s="396"/>
      <c r="J175" s="396"/>
      <c r="K175" s="396"/>
    </row>
    <row r="176" spans="2:11" ht="18.75">
      <c r="B176" s="396"/>
      <c r="C176" s="397"/>
      <c r="D176" s="397"/>
      <c r="E176" s="396"/>
      <c r="F176" s="396"/>
      <c r="G176" s="396"/>
      <c r="H176" s="396"/>
      <c r="I176" s="396"/>
      <c r="J176" s="396"/>
      <c r="K176" s="396"/>
    </row>
    <row r="177" spans="2:11" ht="18.75">
      <c r="B177" s="396"/>
      <c r="C177" s="397"/>
      <c r="D177" s="397"/>
      <c r="E177" s="396"/>
      <c r="F177" s="396"/>
      <c r="G177" s="396"/>
      <c r="H177" s="396"/>
      <c r="I177" s="396"/>
      <c r="J177" s="396"/>
      <c r="K177" s="396"/>
    </row>
    <row r="178" spans="2:11" ht="18.75">
      <c r="B178" s="396"/>
      <c r="C178" s="397"/>
      <c r="D178" s="397"/>
      <c r="E178" s="396"/>
      <c r="F178" s="396"/>
      <c r="G178" s="396"/>
      <c r="H178" s="396"/>
      <c r="I178" s="396"/>
      <c r="J178" s="396"/>
      <c r="K178" s="396"/>
    </row>
    <row r="179" spans="2:11" ht="18.75">
      <c r="B179" s="396"/>
      <c r="C179" s="397"/>
      <c r="D179" s="397"/>
      <c r="E179" s="396"/>
      <c r="F179" s="396"/>
      <c r="G179" s="396"/>
      <c r="H179" s="396"/>
      <c r="I179" s="396"/>
      <c r="J179" s="396"/>
      <c r="K179" s="396"/>
    </row>
    <row r="180" spans="2:11" ht="18.75">
      <c r="B180" s="396"/>
      <c r="C180" s="397"/>
      <c r="D180" s="397"/>
      <c r="E180" s="396"/>
      <c r="F180" s="396"/>
      <c r="G180" s="396"/>
      <c r="H180" s="396"/>
      <c r="I180" s="396"/>
      <c r="J180" s="396"/>
      <c r="K180" s="396"/>
    </row>
    <row r="181" spans="2:11" ht="18.75">
      <c r="B181" s="396"/>
      <c r="C181" s="397"/>
      <c r="D181" s="397"/>
      <c r="E181" s="396"/>
      <c r="F181" s="396"/>
      <c r="G181" s="396"/>
      <c r="H181" s="396"/>
      <c r="I181" s="396"/>
      <c r="J181" s="396"/>
      <c r="K181" s="396"/>
    </row>
    <row r="182" spans="2:11" ht="18.75">
      <c r="B182" s="396"/>
      <c r="C182" s="397"/>
      <c r="D182" s="397"/>
      <c r="E182" s="396"/>
      <c r="F182" s="396"/>
      <c r="G182" s="396"/>
      <c r="H182" s="396"/>
      <c r="I182" s="396"/>
      <c r="J182" s="396"/>
      <c r="K182" s="396"/>
    </row>
    <row r="183" spans="2:11" ht="18.75">
      <c r="B183" s="396"/>
      <c r="C183" s="397"/>
      <c r="D183" s="397"/>
      <c r="E183" s="396"/>
      <c r="F183" s="396"/>
      <c r="G183" s="396"/>
      <c r="H183" s="396"/>
      <c r="I183" s="396"/>
      <c r="J183" s="396"/>
      <c r="K183" s="396"/>
    </row>
    <row r="184" spans="2:11" ht="18.75">
      <c r="B184" s="396"/>
      <c r="C184" s="397"/>
      <c r="D184" s="397"/>
      <c r="E184" s="396"/>
      <c r="F184" s="396"/>
      <c r="G184" s="396"/>
      <c r="H184" s="396"/>
      <c r="I184" s="396"/>
      <c r="J184" s="396"/>
      <c r="K184" s="396"/>
    </row>
    <row r="185" spans="2:11" ht="18.75">
      <c r="B185" s="396"/>
      <c r="C185" s="397"/>
      <c r="D185" s="397"/>
      <c r="E185" s="396"/>
      <c r="F185" s="396"/>
      <c r="G185" s="396"/>
      <c r="H185" s="396"/>
      <c r="I185" s="396"/>
      <c r="J185" s="396"/>
      <c r="K185" s="396"/>
    </row>
    <row r="186" spans="2:11" ht="18.75">
      <c r="B186" s="396"/>
      <c r="C186" s="397"/>
      <c r="D186" s="397"/>
      <c r="E186" s="396"/>
      <c r="F186" s="396"/>
      <c r="G186" s="396"/>
      <c r="H186" s="396"/>
      <c r="I186" s="396"/>
      <c r="J186" s="396"/>
      <c r="K186" s="396"/>
    </row>
    <row r="187" spans="2:11" ht="18.75">
      <c r="B187" s="396"/>
      <c r="C187" s="397"/>
      <c r="D187" s="397"/>
      <c r="E187" s="396"/>
      <c r="F187" s="396"/>
      <c r="G187" s="396"/>
      <c r="H187" s="396"/>
      <c r="I187" s="396"/>
      <c r="J187" s="396"/>
      <c r="K187" s="396"/>
    </row>
    <row r="188" spans="2:11" ht="18.75">
      <c r="B188" s="396"/>
      <c r="C188" s="397"/>
      <c r="D188" s="397"/>
      <c r="E188" s="396"/>
      <c r="F188" s="396"/>
      <c r="G188" s="396"/>
      <c r="H188" s="396"/>
      <c r="I188" s="396"/>
      <c r="J188" s="396"/>
      <c r="K188" s="396"/>
    </row>
    <row r="189" spans="2:11" ht="18.75">
      <c r="B189" s="396"/>
      <c r="C189" s="397"/>
      <c r="D189" s="397"/>
      <c r="E189" s="396"/>
      <c r="F189" s="396"/>
      <c r="G189" s="396"/>
      <c r="H189" s="396"/>
      <c r="I189" s="396"/>
      <c r="J189" s="396"/>
      <c r="K189" s="396"/>
    </row>
    <row r="190" spans="2:11" ht="18.75">
      <c r="B190" s="396"/>
      <c r="C190" s="397"/>
      <c r="D190" s="397"/>
      <c r="E190" s="396"/>
      <c r="F190" s="396"/>
      <c r="G190" s="396"/>
      <c r="H190" s="396"/>
      <c r="I190" s="396"/>
      <c r="J190" s="396"/>
      <c r="K190" s="396"/>
    </row>
    <row r="191" spans="2:11" ht="18.75">
      <c r="B191" s="396"/>
      <c r="C191" s="397"/>
      <c r="D191" s="397"/>
      <c r="E191" s="396"/>
      <c r="F191" s="396"/>
      <c r="G191" s="396"/>
      <c r="H191" s="396"/>
      <c r="I191" s="396"/>
      <c r="J191" s="396"/>
      <c r="K191" s="396"/>
    </row>
    <row r="192" spans="2:11" ht="18.75">
      <c r="B192" s="396"/>
      <c r="C192" s="397"/>
      <c r="D192" s="397"/>
      <c r="E192" s="396"/>
      <c r="F192" s="396"/>
      <c r="G192" s="396"/>
      <c r="H192" s="396"/>
      <c r="I192" s="396"/>
      <c r="J192" s="396"/>
      <c r="K192" s="396"/>
    </row>
    <row r="193" spans="2:11" ht="18.75">
      <c r="B193" s="396"/>
      <c r="C193" s="397"/>
      <c r="D193" s="397"/>
      <c r="E193" s="396"/>
      <c r="F193" s="396"/>
      <c r="G193" s="396"/>
      <c r="H193" s="396"/>
      <c r="I193" s="396"/>
      <c r="J193" s="396"/>
      <c r="K193" s="396"/>
    </row>
    <row r="194" spans="2:11" ht="18.75">
      <c r="B194" s="396"/>
      <c r="C194" s="397"/>
      <c r="D194" s="397"/>
      <c r="E194" s="396"/>
      <c r="F194" s="396"/>
      <c r="G194" s="396"/>
      <c r="H194" s="396"/>
      <c r="I194" s="396"/>
      <c r="J194" s="396"/>
      <c r="K194" s="396"/>
    </row>
    <row r="195" spans="2:11" ht="18.75">
      <c r="B195" s="396"/>
      <c r="C195" s="397"/>
      <c r="D195" s="397"/>
      <c r="E195" s="396"/>
      <c r="F195" s="396"/>
      <c r="G195" s="396"/>
      <c r="H195" s="396"/>
      <c r="I195" s="396"/>
      <c r="J195" s="396"/>
      <c r="K195" s="396"/>
    </row>
    <row r="196" spans="2:11" ht="18.75">
      <c r="B196" s="396"/>
      <c r="C196" s="397"/>
      <c r="D196" s="397"/>
      <c r="E196" s="396"/>
      <c r="F196" s="396"/>
      <c r="G196" s="396"/>
      <c r="H196" s="396"/>
      <c r="I196" s="396"/>
      <c r="J196" s="396"/>
      <c r="K196" s="396"/>
    </row>
    <row r="197" spans="2:11" ht="18.75">
      <c r="B197" s="396"/>
      <c r="C197" s="397"/>
      <c r="D197" s="397"/>
      <c r="E197" s="396"/>
      <c r="F197" s="396"/>
      <c r="G197" s="396"/>
      <c r="H197" s="396"/>
      <c r="I197" s="396"/>
      <c r="J197" s="396"/>
      <c r="K197" s="396"/>
    </row>
    <row r="198" spans="2:11" ht="18.75">
      <c r="B198" s="396"/>
      <c r="C198" s="397"/>
      <c r="D198" s="397"/>
      <c r="E198" s="396"/>
      <c r="F198" s="396"/>
      <c r="G198" s="396"/>
      <c r="H198" s="396"/>
      <c r="I198" s="396"/>
      <c r="J198" s="396"/>
      <c r="K198" s="396"/>
    </row>
    <row r="199" spans="2:11" ht="18.75">
      <c r="B199" s="396"/>
      <c r="C199" s="397"/>
      <c r="D199" s="397"/>
      <c r="E199" s="396"/>
      <c r="F199" s="396"/>
      <c r="G199" s="396"/>
      <c r="H199" s="396"/>
      <c r="I199" s="396"/>
      <c r="J199" s="396"/>
      <c r="K199" s="396"/>
    </row>
    <row r="200" spans="2:11" ht="18.75">
      <c r="B200" s="396"/>
      <c r="C200" s="397"/>
      <c r="D200" s="397"/>
      <c r="E200" s="396"/>
      <c r="F200" s="396"/>
      <c r="G200" s="396"/>
      <c r="H200" s="396"/>
      <c r="I200" s="396"/>
      <c r="J200" s="396"/>
      <c r="K200" s="396"/>
    </row>
    <row r="201" spans="2:11" ht="18.75">
      <c r="B201" s="396"/>
      <c r="C201" s="397"/>
      <c r="D201" s="397"/>
      <c r="E201" s="396"/>
      <c r="F201" s="396"/>
      <c r="G201" s="396"/>
      <c r="H201" s="396"/>
      <c r="I201" s="396"/>
      <c r="J201" s="396"/>
      <c r="K201" s="396"/>
    </row>
    <row r="202" spans="2:11" ht="18.75">
      <c r="B202" s="396"/>
      <c r="C202" s="397"/>
      <c r="D202" s="397"/>
      <c r="E202" s="396"/>
      <c r="F202" s="396"/>
      <c r="G202" s="396"/>
      <c r="H202" s="396"/>
      <c r="I202" s="396"/>
      <c r="J202" s="396"/>
      <c r="K202" s="396"/>
    </row>
    <row r="203" spans="2:11" ht="18.75">
      <c r="B203" s="396"/>
      <c r="C203" s="397"/>
      <c r="D203" s="397"/>
      <c r="E203" s="396"/>
      <c r="F203" s="396"/>
      <c r="G203" s="396"/>
      <c r="H203" s="396"/>
      <c r="I203" s="396"/>
      <c r="J203" s="396"/>
      <c r="K203" s="396"/>
    </row>
    <row r="204" spans="2:11" ht="18.75">
      <c r="B204" s="396"/>
      <c r="C204" s="397"/>
      <c r="D204" s="397"/>
      <c r="E204" s="396"/>
      <c r="F204" s="396"/>
      <c r="G204" s="396"/>
      <c r="H204" s="396"/>
      <c r="I204" s="396"/>
      <c r="J204" s="396"/>
      <c r="K204" s="396"/>
    </row>
    <row r="205" spans="2:11" ht="18.75">
      <c r="B205" s="396"/>
      <c r="C205" s="397"/>
      <c r="D205" s="397"/>
      <c r="E205" s="396"/>
      <c r="F205" s="396"/>
      <c r="G205" s="396"/>
      <c r="H205" s="396"/>
      <c r="I205" s="396"/>
      <c r="J205" s="396"/>
      <c r="K205" s="396"/>
    </row>
    <row r="206" spans="2:11" ht="18.75">
      <c r="B206" s="396"/>
      <c r="C206" s="397"/>
      <c r="D206" s="397"/>
      <c r="E206" s="396"/>
      <c r="F206" s="396"/>
      <c r="G206" s="396"/>
      <c r="H206" s="396"/>
      <c r="I206" s="396"/>
      <c r="J206" s="396"/>
      <c r="K206" s="396"/>
    </row>
    <row r="207" spans="2:11" ht="18.75">
      <c r="B207" s="396"/>
      <c r="C207" s="397"/>
      <c r="D207" s="397"/>
      <c r="E207" s="396"/>
      <c r="F207" s="396"/>
      <c r="G207" s="396"/>
      <c r="H207" s="396"/>
      <c r="I207" s="396"/>
      <c r="J207" s="396"/>
      <c r="K207" s="396"/>
    </row>
    <row r="208" spans="2:11" ht="18.75">
      <c r="B208" s="396"/>
      <c r="C208" s="397"/>
      <c r="D208" s="397"/>
      <c r="E208" s="396"/>
      <c r="F208" s="396"/>
      <c r="G208" s="396"/>
      <c r="H208" s="396"/>
      <c r="I208" s="396"/>
      <c r="J208" s="396"/>
      <c r="K208" s="396"/>
    </row>
    <row r="209" spans="2:11" ht="18.75">
      <c r="B209" s="396"/>
      <c r="C209" s="397"/>
      <c r="D209" s="397"/>
      <c r="E209" s="396"/>
      <c r="F209" s="396"/>
      <c r="G209" s="396"/>
      <c r="H209" s="396"/>
      <c r="I209" s="396"/>
      <c r="J209" s="396"/>
      <c r="K209" s="396"/>
    </row>
    <row r="210" spans="2:11" ht="18.75">
      <c r="B210" s="396"/>
      <c r="C210" s="397"/>
      <c r="D210" s="397"/>
      <c r="E210" s="396"/>
      <c r="F210" s="396"/>
      <c r="G210" s="396"/>
      <c r="H210" s="396"/>
      <c r="I210" s="396"/>
      <c r="J210" s="396"/>
      <c r="K210" s="396"/>
    </row>
    <row r="211" spans="2:11" ht="18.75">
      <c r="B211" s="396"/>
      <c r="C211" s="397"/>
      <c r="D211" s="397"/>
      <c r="E211" s="396"/>
      <c r="F211" s="396"/>
      <c r="G211" s="396"/>
      <c r="H211" s="396"/>
      <c r="I211" s="396"/>
      <c r="J211" s="396"/>
      <c r="K211" s="396"/>
    </row>
    <row r="212" spans="2:11" ht="18.75">
      <c r="B212" s="396"/>
      <c r="C212" s="397"/>
      <c r="D212" s="397"/>
      <c r="E212" s="396"/>
      <c r="F212" s="396"/>
      <c r="G212" s="396"/>
      <c r="H212" s="396"/>
      <c r="I212" s="396"/>
      <c r="J212" s="396"/>
      <c r="K212" s="396"/>
    </row>
    <row r="213" spans="2:11" ht="18.75">
      <c r="B213" s="396"/>
      <c r="C213" s="397"/>
      <c r="D213" s="397"/>
      <c r="E213" s="396"/>
      <c r="F213" s="396"/>
      <c r="G213" s="396"/>
      <c r="H213" s="396"/>
      <c r="I213" s="396"/>
      <c r="J213" s="396"/>
      <c r="K213" s="396"/>
    </row>
    <row r="214" spans="2:11" ht="18.75">
      <c r="B214" s="396"/>
      <c r="C214" s="397"/>
      <c r="D214" s="397"/>
      <c r="E214" s="396"/>
      <c r="F214" s="396"/>
      <c r="G214" s="396"/>
      <c r="H214" s="396"/>
      <c r="I214" s="396"/>
      <c r="J214" s="396"/>
      <c r="K214" s="396"/>
    </row>
    <row r="215" spans="2:11" ht="18.75">
      <c r="B215" s="396"/>
      <c r="C215" s="397"/>
      <c r="D215" s="397"/>
      <c r="E215" s="396"/>
      <c r="F215" s="396"/>
      <c r="G215" s="396"/>
      <c r="H215" s="396"/>
      <c r="I215" s="396"/>
      <c r="J215" s="396"/>
      <c r="K215" s="396"/>
    </row>
    <row r="216" spans="2:11" ht="18.75">
      <c r="B216" s="396"/>
      <c r="C216" s="397"/>
      <c r="D216" s="397"/>
      <c r="E216" s="396"/>
      <c r="F216" s="396"/>
      <c r="G216" s="396"/>
      <c r="H216" s="396"/>
      <c r="I216" s="396"/>
      <c r="J216" s="396"/>
      <c r="K216" s="396"/>
    </row>
    <row r="217" spans="2:11" ht="18.75">
      <c r="B217" s="396"/>
      <c r="C217" s="397"/>
      <c r="D217" s="397"/>
      <c r="E217" s="396"/>
      <c r="F217" s="396"/>
      <c r="G217" s="396"/>
      <c r="H217" s="396"/>
      <c r="I217" s="396"/>
      <c r="J217" s="396"/>
      <c r="K217" s="396"/>
    </row>
    <row r="218" spans="2:11" ht="18.75">
      <c r="B218" s="396"/>
      <c r="C218" s="397"/>
      <c r="D218" s="397"/>
      <c r="E218" s="396"/>
      <c r="F218" s="396"/>
      <c r="G218" s="396"/>
      <c r="H218" s="396"/>
      <c r="I218" s="396"/>
      <c r="J218" s="396"/>
      <c r="K218" s="396"/>
    </row>
    <row r="219" spans="2:11" ht="18.75">
      <c r="B219" s="396"/>
      <c r="C219" s="397"/>
      <c r="D219" s="397"/>
      <c r="E219" s="396"/>
      <c r="F219" s="396"/>
      <c r="G219" s="396"/>
      <c r="H219" s="396"/>
      <c r="I219" s="396"/>
      <c r="J219" s="396"/>
      <c r="K219" s="396"/>
    </row>
    <row r="220" spans="2:11" ht="18.75">
      <c r="B220" s="396"/>
      <c r="C220" s="397"/>
      <c r="D220" s="397"/>
      <c r="E220" s="396"/>
      <c r="F220" s="396"/>
      <c r="G220" s="396"/>
      <c r="H220" s="396"/>
      <c r="I220" s="396"/>
      <c r="J220" s="396"/>
      <c r="K220" s="396"/>
    </row>
    <row r="221" spans="2:11" ht="18.75">
      <c r="B221" s="396"/>
      <c r="C221" s="397"/>
      <c r="D221" s="397"/>
      <c r="E221" s="396"/>
      <c r="F221" s="396"/>
      <c r="G221" s="396"/>
      <c r="H221" s="396"/>
      <c r="I221" s="396"/>
      <c r="J221" s="396"/>
      <c r="K221" s="396"/>
    </row>
    <row r="222" spans="2:11" ht="18.75">
      <c r="B222" s="396"/>
      <c r="C222" s="397"/>
      <c r="D222" s="397"/>
      <c r="E222" s="396"/>
      <c r="F222" s="396"/>
      <c r="G222" s="396"/>
      <c r="H222" s="396"/>
      <c r="I222" s="396"/>
      <c r="J222" s="396"/>
      <c r="K222" s="396"/>
    </row>
    <row r="223" spans="2:11" ht="18.75">
      <c r="B223" s="396"/>
      <c r="C223" s="397"/>
      <c r="D223" s="397"/>
      <c r="E223" s="396"/>
      <c r="F223" s="396"/>
      <c r="G223" s="396"/>
      <c r="H223" s="396"/>
      <c r="I223" s="396"/>
      <c r="J223" s="396"/>
      <c r="K223" s="396"/>
    </row>
    <row r="224" spans="2:11" ht="18.75">
      <c r="B224" s="396"/>
      <c r="C224" s="397"/>
      <c r="D224" s="397"/>
      <c r="E224" s="396"/>
      <c r="F224" s="396"/>
      <c r="G224" s="396"/>
      <c r="H224" s="396"/>
      <c r="I224" s="396"/>
      <c r="J224" s="396"/>
      <c r="K224" s="396"/>
    </row>
    <row r="225" spans="2:11" ht="18.75">
      <c r="B225" s="396"/>
      <c r="C225" s="397"/>
      <c r="D225" s="397"/>
      <c r="E225" s="396"/>
      <c r="F225" s="396"/>
      <c r="G225" s="396"/>
      <c r="H225" s="396"/>
      <c r="I225" s="396"/>
      <c r="J225" s="396"/>
      <c r="K225" s="396"/>
    </row>
    <row r="226" spans="2:11" ht="18.75">
      <c r="B226" s="396"/>
      <c r="C226" s="397"/>
      <c r="D226" s="397"/>
      <c r="E226" s="396"/>
      <c r="F226" s="396"/>
      <c r="G226" s="396"/>
      <c r="H226" s="396"/>
      <c r="I226" s="396"/>
      <c r="J226" s="396"/>
      <c r="K226" s="396"/>
    </row>
    <row r="227" spans="2:11" ht="18.75">
      <c r="B227" s="396"/>
      <c r="C227" s="397"/>
      <c r="D227" s="397"/>
      <c r="E227" s="396"/>
      <c r="F227" s="396"/>
      <c r="G227" s="396"/>
      <c r="H227" s="396"/>
      <c r="I227" s="396"/>
      <c r="J227" s="396"/>
      <c r="K227" s="396"/>
    </row>
    <row r="228" spans="2:11" ht="18.75">
      <c r="B228" s="396"/>
      <c r="C228" s="397"/>
      <c r="D228" s="397"/>
      <c r="E228" s="396"/>
      <c r="F228" s="396"/>
      <c r="G228" s="396"/>
      <c r="H228" s="396"/>
      <c r="I228" s="396"/>
      <c r="J228" s="396"/>
      <c r="K228" s="396"/>
    </row>
    <row r="229" spans="2:11" ht="18.75">
      <c r="B229" s="396"/>
      <c r="C229" s="397"/>
      <c r="D229" s="397"/>
      <c r="E229" s="396"/>
      <c r="F229" s="396"/>
      <c r="G229" s="396"/>
      <c r="H229" s="396"/>
      <c r="I229" s="396"/>
      <c r="J229" s="396"/>
      <c r="K229" s="396"/>
    </row>
    <row r="230" spans="2:11" ht="18.75">
      <c r="B230" s="396"/>
      <c r="C230" s="397"/>
      <c r="D230" s="397"/>
      <c r="E230" s="396"/>
      <c r="F230" s="396"/>
      <c r="G230" s="396"/>
      <c r="H230" s="396"/>
      <c r="I230" s="396"/>
      <c r="J230" s="396"/>
      <c r="K230" s="396"/>
    </row>
    <row r="231" spans="2:11" ht="18.75">
      <c r="B231" s="396"/>
      <c r="C231" s="397"/>
      <c r="D231" s="397"/>
      <c r="E231" s="396"/>
      <c r="F231" s="396"/>
      <c r="G231" s="396"/>
      <c r="H231" s="396"/>
      <c r="I231" s="396"/>
      <c r="J231" s="396"/>
      <c r="K231" s="396"/>
    </row>
    <row r="232" spans="2:11" ht="18.75">
      <c r="B232" s="396"/>
      <c r="C232" s="397"/>
      <c r="D232" s="397"/>
      <c r="E232" s="396"/>
      <c r="F232" s="396"/>
      <c r="G232" s="396"/>
      <c r="H232" s="396"/>
      <c r="I232" s="396"/>
      <c r="J232" s="396"/>
      <c r="K232" s="396"/>
    </row>
    <row r="233" spans="2:11" ht="18.75">
      <c r="B233" s="396"/>
      <c r="C233" s="397"/>
      <c r="D233" s="397"/>
      <c r="E233" s="396"/>
      <c r="F233" s="396"/>
      <c r="G233" s="396"/>
      <c r="H233" s="396"/>
      <c r="I233" s="396"/>
      <c r="J233" s="396"/>
      <c r="K233" s="396"/>
    </row>
    <row r="234" spans="2:11" ht="18.75">
      <c r="B234" s="396"/>
      <c r="C234" s="397"/>
      <c r="D234" s="397"/>
      <c r="E234" s="396"/>
      <c r="F234" s="396"/>
      <c r="G234" s="396"/>
      <c r="H234" s="396"/>
      <c r="I234" s="396"/>
      <c r="J234" s="396"/>
      <c r="K234" s="396"/>
    </row>
    <row r="235" spans="2:11" ht="18.75">
      <c r="B235" s="396"/>
      <c r="C235" s="397"/>
      <c r="D235" s="397"/>
      <c r="E235" s="396"/>
      <c r="F235" s="396"/>
      <c r="G235" s="396"/>
      <c r="H235" s="396"/>
      <c r="I235" s="396"/>
      <c r="J235" s="396"/>
      <c r="K235" s="396"/>
    </row>
    <row r="236" spans="2:11" ht="18.75">
      <c r="B236" s="396"/>
      <c r="C236" s="397"/>
      <c r="D236" s="397"/>
      <c r="E236" s="396"/>
      <c r="F236" s="396"/>
      <c r="G236" s="396"/>
      <c r="H236" s="396"/>
      <c r="I236" s="396"/>
      <c r="J236" s="396"/>
      <c r="K236" s="396"/>
    </row>
    <row r="237" spans="2:11" ht="18.75">
      <c r="B237" s="396"/>
      <c r="C237" s="397"/>
      <c r="D237" s="397"/>
      <c r="E237" s="396"/>
      <c r="F237" s="396"/>
      <c r="G237" s="396"/>
      <c r="H237" s="396"/>
      <c r="I237" s="396"/>
      <c r="J237" s="396"/>
      <c r="K237" s="396"/>
    </row>
    <row r="238" spans="2:11" ht="18.75">
      <c r="B238" s="396"/>
      <c r="C238" s="397"/>
      <c r="D238" s="397"/>
      <c r="E238" s="396"/>
      <c r="F238" s="396"/>
      <c r="G238" s="396"/>
      <c r="H238" s="396"/>
      <c r="I238" s="396"/>
      <c r="J238" s="396"/>
      <c r="K238" s="396"/>
    </row>
    <row r="239" spans="2:11" ht="18.75">
      <c r="B239" s="396"/>
      <c r="C239" s="397"/>
      <c r="D239" s="397"/>
      <c r="E239" s="396"/>
      <c r="F239" s="396"/>
      <c r="G239" s="396"/>
      <c r="H239" s="396"/>
      <c r="I239" s="396"/>
      <c r="J239" s="396"/>
      <c r="K239" s="396"/>
    </row>
    <row r="240" spans="2:11" ht="18.75">
      <c r="B240" s="396"/>
      <c r="C240" s="397"/>
      <c r="D240" s="397"/>
      <c r="E240" s="396"/>
      <c r="F240" s="396"/>
      <c r="G240" s="396"/>
      <c r="H240" s="396"/>
      <c r="I240" s="396"/>
      <c r="J240" s="396"/>
      <c r="K240" s="396"/>
    </row>
    <row r="241" spans="2:11" ht="18.75">
      <c r="B241" s="396"/>
      <c r="C241" s="397"/>
      <c r="D241" s="397"/>
      <c r="E241" s="396"/>
      <c r="F241" s="396"/>
      <c r="G241" s="396"/>
      <c r="H241" s="396"/>
      <c r="I241" s="396"/>
      <c r="J241" s="396"/>
      <c r="K241" s="396"/>
    </row>
    <row r="242" spans="2:11" ht="18.75">
      <c r="B242" s="396"/>
      <c r="C242" s="397"/>
      <c r="D242" s="397"/>
      <c r="E242" s="396"/>
      <c r="F242" s="396"/>
      <c r="G242" s="396"/>
      <c r="H242" s="396"/>
      <c r="I242" s="396"/>
      <c r="J242" s="396"/>
      <c r="K242" s="396"/>
    </row>
    <row r="243" spans="2:11" ht="18.75">
      <c r="B243" s="396"/>
      <c r="C243" s="397"/>
      <c r="D243" s="397"/>
      <c r="E243" s="396"/>
      <c r="F243" s="396"/>
      <c r="G243" s="396"/>
      <c r="H243" s="396"/>
      <c r="I243" s="396"/>
      <c r="J243" s="396"/>
      <c r="K243" s="396"/>
    </row>
    <row r="244" spans="2:11" ht="18.75">
      <c r="B244" s="396"/>
      <c r="C244" s="397"/>
      <c r="D244" s="397"/>
      <c r="E244" s="396"/>
      <c r="F244" s="396"/>
      <c r="G244" s="396"/>
      <c r="H244" s="396"/>
      <c r="I244" s="396"/>
      <c r="J244" s="396"/>
      <c r="K244" s="396"/>
    </row>
    <row r="245" spans="2:11" ht="18.75">
      <c r="B245" s="396"/>
      <c r="C245" s="397"/>
      <c r="D245" s="397"/>
      <c r="E245" s="396"/>
      <c r="F245" s="396"/>
      <c r="G245" s="396"/>
      <c r="H245" s="396"/>
      <c r="I245" s="396"/>
      <c r="J245" s="396"/>
      <c r="K245" s="396"/>
    </row>
    <row r="246" spans="2:11" ht="18.75">
      <c r="B246" s="396"/>
      <c r="C246" s="397"/>
      <c r="D246" s="397"/>
      <c r="E246" s="396"/>
      <c r="F246" s="396"/>
      <c r="G246" s="396"/>
      <c r="H246" s="396"/>
      <c r="I246" s="396"/>
      <c r="J246" s="396"/>
      <c r="K246" s="396"/>
    </row>
    <row r="247" spans="2:11" ht="18.75">
      <c r="B247" s="396"/>
      <c r="C247" s="397"/>
      <c r="D247" s="397"/>
      <c r="E247" s="396"/>
      <c r="F247" s="396"/>
      <c r="G247" s="396"/>
      <c r="H247" s="396"/>
      <c r="I247" s="396"/>
      <c r="J247" s="396"/>
      <c r="K247" s="396"/>
    </row>
  </sheetData>
  <sheetProtection/>
  <mergeCells count="6">
    <mergeCell ref="A33:K33"/>
    <mergeCell ref="J1:K1"/>
    <mergeCell ref="B2:K2"/>
    <mergeCell ref="B3:K3"/>
    <mergeCell ref="B31:D31"/>
    <mergeCell ref="A32:K32"/>
  </mergeCells>
  <printOptions horizontalCentered="1"/>
  <pageMargins left="0.7" right="0.46" top="0.55" bottom="0.78740157480315" header="0.32" footer="0.41"/>
  <pageSetup fitToHeight="0" fitToWidth="1" horizontalDpi="600" verticalDpi="600" orientation="landscape" paperSize="9" scale="73" r:id="rId1"/>
  <headerFooter alignWithMargins="0">
    <oddFooter>&amp;R&amp;P/&amp;N</oddFooter>
  </headerFooter>
</worksheet>
</file>

<file path=xl/worksheets/sheet18.xml><?xml version="1.0" encoding="utf-8"?>
<worksheet xmlns="http://schemas.openxmlformats.org/spreadsheetml/2006/main" xmlns:r="http://schemas.openxmlformats.org/officeDocument/2006/relationships">
  <sheetPr>
    <tabColor theme="6" tint="-0.24997000396251678"/>
    <pageSetUpPr fitToPage="1"/>
  </sheetPr>
  <dimension ref="A1:S249"/>
  <sheetViews>
    <sheetView zoomScale="85" zoomScaleNormal="85" zoomScalePageLayoutView="0" workbookViewId="0" topLeftCell="A5">
      <selection activeCell="E8" sqref="E8"/>
    </sheetView>
  </sheetViews>
  <sheetFormatPr defaultColWidth="9.140625" defaultRowHeight="12.75"/>
  <cols>
    <col min="1" max="1" width="5.00390625" style="435" customWidth="1"/>
    <col min="2" max="2" width="43.57421875" style="964" customWidth="1"/>
    <col min="3" max="3" width="13.421875" style="437" customWidth="1"/>
    <col min="4" max="4" width="12.7109375" style="437" customWidth="1"/>
    <col min="5" max="5" width="12.28125" style="437" customWidth="1"/>
    <col min="6" max="6" width="12.00390625" style="438" customWidth="1"/>
    <col min="7" max="7" width="11.140625" style="438" customWidth="1"/>
    <col min="8" max="8" width="10.7109375" style="438" customWidth="1"/>
    <col min="9" max="9" width="11.00390625" style="438" customWidth="1"/>
    <col min="10" max="16384" width="9.140625" style="438" customWidth="1"/>
  </cols>
  <sheetData>
    <row r="1" spans="2:9" ht="30" customHeight="1">
      <c r="B1" s="922" t="s">
        <v>661</v>
      </c>
      <c r="F1" s="923"/>
      <c r="G1" s="924" t="s">
        <v>357</v>
      </c>
      <c r="H1" s="1316" t="s">
        <v>358</v>
      </c>
      <c r="I1" s="1316"/>
    </row>
    <row r="2" spans="2:10" ht="22.5" customHeight="1">
      <c r="B2" s="1317" t="s">
        <v>660</v>
      </c>
      <c r="C2" s="1317"/>
      <c r="D2" s="1317"/>
      <c r="E2" s="1317"/>
      <c r="F2" s="1317"/>
      <c r="G2" s="1317"/>
      <c r="H2" s="1317"/>
      <c r="I2" s="1317"/>
      <c r="J2" s="925"/>
    </row>
    <row r="3" spans="1:10" ht="35.25" customHeight="1">
      <c r="A3" s="1347" t="s">
        <v>796</v>
      </c>
      <c r="B3" s="1308"/>
      <c r="C3" s="1308"/>
      <c r="D3" s="1308"/>
      <c r="E3" s="1308"/>
      <c r="F3" s="1308"/>
      <c r="G3" s="1308"/>
      <c r="H3" s="1308"/>
      <c r="I3" s="1308"/>
      <c r="J3" s="584"/>
    </row>
    <row r="4" spans="1:10" ht="24" customHeight="1">
      <c r="A4" s="603"/>
      <c r="B4" s="926"/>
      <c r="C4" s="586"/>
      <c r="D4" s="586"/>
      <c r="E4" s="586"/>
      <c r="F4" s="584"/>
      <c r="G4" s="1348" t="s">
        <v>662</v>
      </c>
      <c r="H4" s="1348"/>
      <c r="I4" s="1348"/>
      <c r="J4" s="584"/>
    </row>
    <row r="5" spans="1:10" s="604" customFormat="1" ht="36.75" customHeight="1">
      <c r="A5" s="1345" t="s">
        <v>663</v>
      </c>
      <c r="B5" s="1345" t="s">
        <v>664</v>
      </c>
      <c r="C5" s="1349" t="s">
        <v>665</v>
      </c>
      <c r="D5" s="1350"/>
      <c r="E5" s="1345" t="s">
        <v>298</v>
      </c>
      <c r="F5" s="1345" t="s">
        <v>299</v>
      </c>
      <c r="G5" s="1345" t="s">
        <v>300</v>
      </c>
      <c r="H5" s="1345" t="s">
        <v>800</v>
      </c>
      <c r="I5" s="1345" t="s">
        <v>301</v>
      </c>
      <c r="J5" s="589"/>
    </row>
    <row r="6" spans="1:19" ht="35.25" customHeight="1">
      <c r="A6" s="1346"/>
      <c r="B6" s="1346"/>
      <c r="C6" s="927" t="s">
        <v>666</v>
      </c>
      <c r="D6" s="927" t="s">
        <v>667</v>
      </c>
      <c r="E6" s="1346"/>
      <c r="F6" s="1346"/>
      <c r="G6" s="1346"/>
      <c r="H6" s="1346"/>
      <c r="I6" s="1346"/>
      <c r="J6" s="608"/>
      <c r="K6" s="609"/>
      <c r="M6" s="610"/>
      <c r="N6" s="609"/>
      <c r="P6" s="610"/>
      <c r="Q6" s="609"/>
      <c r="S6" s="610"/>
    </row>
    <row r="7" spans="1:19" ht="22.5" customHeight="1">
      <c r="A7" s="928"/>
      <c r="B7" s="929" t="s">
        <v>215</v>
      </c>
      <c r="C7" s="930"/>
      <c r="D7" s="930"/>
      <c r="E7" s="626"/>
      <c r="F7" s="627"/>
      <c r="G7" s="628"/>
      <c r="H7" s="628"/>
      <c r="I7" s="628"/>
      <c r="J7" s="608"/>
      <c r="K7" s="609"/>
      <c r="M7" s="610"/>
      <c r="N7" s="609"/>
      <c r="P7" s="610"/>
      <c r="Q7" s="609"/>
      <c r="S7" s="610"/>
    </row>
    <row r="8" spans="1:19" s="443" customFormat="1" ht="41.25" customHeight="1">
      <c r="A8" s="931" t="s">
        <v>101</v>
      </c>
      <c r="B8" s="929" t="s">
        <v>668</v>
      </c>
      <c r="C8" s="932">
        <f>SUM(C9:C11)</f>
        <v>10648.8</v>
      </c>
      <c r="D8" s="932">
        <f aca="true" t="shared" si="0" ref="D8:I8">SUM(D9:D11)</f>
        <v>0</v>
      </c>
      <c r="E8" s="932">
        <f t="shared" si="0"/>
        <v>940</v>
      </c>
      <c r="F8" s="932">
        <f t="shared" si="0"/>
        <v>0</v>
      </c>
      <c r="G8" s="932">
        <f t="shared" si="0"/>
        <v>1027.8</v>
      </c>
      <c r="H8" s="932">
        <f t="shared" si="0"/>
        <v>1970</v>
      </c>
      <c r="I8" s="932">
        <f t="shared" si="0"/>
        <v>0</v>
      </c>
      <c r="J8" s="933"/>
      <c r="K8" s="614"/>
      <c r="M8" s="615"/>
      <c r="N8" s="614"/>
      <c r="P8" s="615"/>
      <c r="Q8" s="614"/>
      <c r="S8" s="615"/>
    </row>
    <row r="9" spans="1:10" ht="55.5" customHeight="1">
      <c r="A9" s="928">
        <v>1</v>
      </c>
      <c r="B9" s="934" t="s">
        <v>734</v>
      </c>
      <c r="C9" s="935">
        <v>1970</v>
      </c>
      <c r="D9" s="935">
        <v>0</v>
      </c>
      <c r="E9" s="629"/>
      <c r="F9" s="627"/>
      <c r="G9" s="627"/>
      <c r="H9" s="935">
        <v>1970</v>
      </c>
      <c r="I9" s="627"/>
      <c r="J9" s="584"/>
    </row>
    <row r="10" spans="1:19" ht="52.5" customHeight="1">
      <c r="A10" s="936">
        <v>2</v>
      </c>
      <c r="B10" s="934" t="s">
        <v>735</v>
      </c>
      <c r="C10" s="937">
        <v>1967.8</v>
      </c>
      <c r="D10" s="937"/>
      <c r="E10" s="629">
        <v>940</v>
      </c>
      <c r="F10" s="627"/>
      <c r="G10" s="627">
        <v>1027.8</v>
      </c>
      <c r="H10" s="627"/>
      <c r="I10" s="627"/>
      <c r="J10" s="938"/>
      <c r="K10" s="939"/>
      <c r="L10" s="939"/>
      <c r="M10" s="939"/>
      <c r="N10" s="939"/>
      <c r="O10" s="939"/>
      <c r="P10" s="939"/>
      <c r="Q10" s="939"/>
      <c r="R10" s="939"/>
      <c r="S10" s="939"/>
    </row>
    <row r="11" spans="1:10" ht="30.75" customHeight="1">
      <c r="A11" s="928">
        <v>3</v>
      </c>
      <c r="B11" s="934" t="s">
        <v>736</v>
      </c>
      <c r="C11" s="935">
        <v>6711</v>
      </c>
      <c r="D11" s="935"/>
      <c r="E11" s="629"/>
      <c r="F11" s="627"/>
      <c r="G11" s="627"/>
      <c r="H11" s="627"/>
      <c r="I11" s="627"/>
      <c r="J11" s="584"/>
    </row>
    <row r="12" spans="1:19" s="443" customFormat="1" ht="57.75" customHeight="1">
      <c r="A12" s="940" t="s">
        <v>102</v>
      </c>
      <c r="B12" s="941" t="s">
        <v>669</v>
      </c>
      <c r="C12" s="942">
        <f>SUM(C13:C64)</f>
        <v>58221.852</v>
      </c>
      <c r="D12" s="942">
        <f aca="true" t="shared" si="1" ref="D12:I12">SUM(D13:D64)</f>
        <v>0</v>
      </c>
      <c r="E12" s="942">
        <f t="shared" si="1"/>
        <v>12060.49</v>
      </c>
      <c r="F12" s="942">
        <f t="shared" si="1"/>
        <v>5378.522</v>
      </c>
      <c r="G12" s="942">
        <f t="shared" si="1"/>
        <v>11498</v>
      </c>
      <c r="H12" s="942">
        <f t="shared" si="1"/>
        <v>19507.573</v>
      </c>
      <c r="I12" s="942">
        <f t="shared" si="1"/>
        <v>9750</v>
      </c>
      <c r="J12" s="933"/>
      <c r="K12" s="614"/>
      <c r="M12" s="615"/>
      <c r="N12" s="614"/>
      <c r="P12" s="615"/>
      <c r="Q12" s="614"/>
      <c r="S12" s="615"/>
    </row>
    <row r="13" spans="1:10" ht="40.5" customHeight="1">
      <c r="A13" s="930">
        <v>1</v>
      </c>
      <c r="B13" s="934" t="s">
        <v>737</v>
      </c>
      <c r="C13" s="935">
        <f>SUM(E13:I13)</f>
        <v>5830</v>
      </c>
      <c r="D13" s="935"/>
      <c r="E13" s="935">
        <v>5830</v>
      </c>
      <c r="F13" s="935"/>
      <c r="G13" s="935"/>
      <c r="H13" s="935"/>
      <c r="I13" s="935"/>
      <c r="J13" s="584"/>
    </row>
    <row r="14" spans="1:10" ht="41.25" customHeight="1">
      <c r="A14" s="930">
        <v>2</v>
      </c>
      <c r="B14" s="934" t="s">
        <v>738</v>
      </c>
      <c r="C14" s="935">
        <f aca="true" t="shared" si="2" ref="C14:C29">SUM(E14:I14)</f>
        <v>2360</v>
      </c>
      <c r="D14" s="935"/>
      <c r="E14" s="935"/>
      <c r="F14" s="935">
        <v>2360</v>
      </c>
      <c r="G14" s="935"/>
      <c r="H14" s="935"/>
      <c r="I14" s="935"/>
      <c r="J14" s="584"/>
    </row>
    <row r="15" spans="1:10" ht="40.5" customHeight="1">
      <c r="A15" s="930">
        <v>3</v>
      </c>
      <c r="B15" s="934" t="s">
        <v>739</v>
      </c>
      <c r="C15" s="935">
        <f t="shared" si="2"/>
        <v>1060</v>
      </c>
      <c r="D15" s="935"/>
      <c r="E15" s="935">
        <v>1060</v>
      </c>
      <c r="F15" s="935"/>
      <c r="G15" s="935"/>
      <c r="H15" s="935"/>
      <c r="I15" s="935"/>
      <c r="J15" s="584"/>
    </row>
    <row r="16" spans="1:10" ht="38.25" customHeight="1">
      <c r="A16" s="930">
        <v>4</v>
      </c>
      <c r="B16" s="934" t="s">
        <v>740</v>
      </c>
      <c r="C16" s="935">
        <f t="shared" si="2"/>
        <v>1150</v>
      </c>
      <c r="D16" s="935"/>
      <c r="E16" s="935">
        <v>1150</v>
      </c>
      <c r="F16" s="935"/>
      <c r="G16" s="935"/>
      <c r="H16" s="935"/>
      <c r="I16" s="935"/>
      <c r="J16" s="584"/>
    </row>
    <row r="17" spans="1:10" ht="39.75" customHeight="1">
      <c r="A17" s="930">
        <v>5</v>
      </c>
      <c r="B17" s="934" t="s">
        <v>741</v>
      </c>
      <c r="C17" s="935">
        <f t="shared" si="2"/>
        <v>1060</v>
      </c>
      <c r="D17" s="935"/>
      <c r="E17" s="935">
        <v>1060</v>
      </c>
      <c r="F17" s="935"/>
      <c r="G17" s="935"/>
      <c r="H17" s="935"/>
      <c r="I17" s="935"/>
      <c r="J17" s="584"/>
    </row>
    <row r="18" spans="1:10" ht="38.25" customHeight="1">
      <c r="A18" s="928">
        <v>6</v>
      </c>
      <c r="B18" s="934" t="s">
        <v>742</v>
      </c>
      <c r="C18" s="935">
        <v>2808</v>
      </c>
      <c r="D18" s="935"/>
      <c r="E18" s="935"/>
      <c r="F18" s="943"/>
      <c r="G18" s="943">
        <v>2808</v>
      </c>
      <c r="H18" s="943"/>
      <c r="I18" s="943"/>
      <c r="J18" s="584"/>
    </row>
    <row r="19" spans="1:10" ht="38.25" customHeight="1">
      <c r="A19" s="930">
        <v>7</v>
      </c>
      <c r="B19" s="934" t="s">
        <v>743</v>
      </c>
      <c r="C19" s="935">
        <f t="shared" si="2"/>
        <v>1220</v>
      </c>
      <c r="D19" s="935"/>
      <c r="E19" s="935"/>
      <c r="F19" s="935"/>
      <c r="G19" s="935">
        <v>1202</v>
      </c>
      <c r="H19" s="935">
        <v>18</v>
      </c>
      <c r="I19" s="935"/>
      <c r="J19" s="584"/>
    </row>
    <row r="20" spans="1:19" ht="36" customHeight="1">
      <c r="A20" s="930">
        <v>8</v>
      </c>
      <c r="B20" s="934" t="s">
        <v>744</v>
      </c>
      <c r="C20" s="935">
        <f t="shared" si="2"/>
        <v>3290</v>
      </c>
      <c r="D20" s="935"/>
      <c r="E20" s="935"/>
      <c r="F20" s="935"/>
      <c r="G20" s="935">
        <v>3009</v>
      </c>
      <c r="H20" s="935">
        <v>281</v>
      </c>
      <c r="I20" s="935"/>
      <c r="J20" s="608"/>
      <c r="K20" s="609"/>
      <c r="M20" s="610"/>
      <c r="N20" s="609"/>
      <c r="P20" s="610"/>
      <c r="Q20" s="609"/>
      <c r="S20" s="610"/>
    </row>
    <row r="21" spans="1:17" ht="39" customHeight="1">
      <c r="A21" s="930">
        <v>9</v>
      </c>
      <c r="B21" s="934" t="s">
        <v>745</v>
      </c>
      <c r="C21" s="935">
        <f t="shared" si="2"/>
        <v>1850</v>
      </c>
      <c r="D21" s="935"/>
      <c r="E21" s="935"/>
      <c r="F21" s="935"/>
      <c r="G21" s="935">
        <v>1778</v>
      </c>
      <c r="H21" s="935">
        <v>72</v>
      </c>
      <c r="I21" s="935"/>
      <c r="J21" s="608"/>
      <c r="K21" s="609"/>
      <c r="M21" s="610"/>
      <c r="N21" s="609"/>
      <c r="P21" s="610"/>
      <c r="Q21" s="609"/>
    </row>
    <row r="22" spans="1:19" ht="39.75" customHeight="1">
      <c r="A22" s="930">
        <v>10</v>
      </c>
      <c r="B22" s="934" t="s">
        <v>746</v>
      </c>
      <c r="C22" s="935">
        <f t="shared" si="2"/>
        <v>1580</v>
      </c>
      <c r="D22" s="935"/>
      <c r="E22" s="935"/>
      <c r="F22" s="935"/>
      <c r="G22" s="935"/>
      <c r="H22" s="935">
        <v>1000</v>
      </c>
      <c r="I22" s="935">
        <v>580</v>
      </c>
      <c r="J22" s="608"/>
      <c r="K22" s="609"/>
      <c r="M22" s="610"/>
      <c r="N22" s="609"/>
      <c r="P22" s="610"/>
      <c r="Q22" s="609"/>
      <c r="S22" s="610"/>
    </row>
    <row r="23" spans="1:17" ht="24" customHeight="1">
      <c r="A23" s="930">
        <v>11</v>
      </c>
      <c r="B23" s="934" t="s">
        <v>747</v>
      </c>
      <c r="C23" s="935">
        <f t="shared" si="2"/>
        <v>2480</v>
      </c>
      <c r="D23" s="935"/>
      <c r="E23" s="935"/>
      <c r="F23" s="935"/>
      <c r="G23" s="935">
        <v>500</v>
      </c>
      <c r="H23" s="935">
        <v>1980</v>
      </c>
      <c r="I23" s="935"/>
      <c r="J23" s="608"/>
      <c r="K23" s="609"/>
      <c r="L23" s="944"/>
      <c r="M23" s="610"/>
      <c r="N23" s="609"/>
      <c r="P23" s="610"/>
      <c r="Q23" s="609"/>
    </row>
    <row r="24" spans="1:19" ht="26.25" customHeight="1">
      <c r="A24" s="930">
        <v>12</v>
      </c>
      <c r="B24" s="934" t="s">
        <v>748</v>
      </c>
      <c r="C24" s="935">
        <f>SUM(E24:I24)</f>
        <v>3400</v>
      </c>
      <c r="D24" s="935"/>
      <c r="E24" s="935"/>
      <c r="F24" s="935"/>
      <c r="G24" s="935"/>
      <c r="H24" s="935"/>
      <c r="I24" s="935">
        <v>3400</v>
      </c>
      <c r="J24" s="608"/>
      <c r="K24" s="609"/>
      <c r="M24" s="610"/>
      <c r="N24" s="609"/>
      <c r="P24" s="610"/>
      <c r="Q24" s="609"/>
      <c r="S24" s="610"/>
    </row>
    <row r="25" spans="1:10" ht="42" customHeight="1">
      <c r="A25" s="930">
        <v>13</v>
      </c>
      <c r="B25" s="934" t="s">
        <v>749</v>
      </c>
      <c r="C25" s="935">
        <f>SUM(E25:I25)</f>
        <v>2000</v>
      </c>
      <c r="D25" s="935"/>
      <c r="E25" s="935"/>
      <c r="F25" s="935"/>
      <c r="G25" s="935"/>
      <c r="H25" s="935"/>
      <c r="I25" s="935">
        <v>2000</v>
      </c>
      <c r="J25" s="584"/>
    </row>
    <row r="26" spans="1:10" ht="59.25" customHeight="1">
      <c r="A26" s="930">
        <v>14</v>
      </c>
      <c r="B26" s="934" t="s">
        <v>750</v>
      </c>
      <c r="C26" s="935">
        <f t="shared" si="2"/>
        <v>1000</v>
      </c>
      <c r="D26" s="935"/>
      <c r="E26" s="935"/>
      <c r="F26" s="935"/>
      <c r="G26" s="935"/>
      <c r="H26" s="935"/>
      <c r="I26" s="935">
        <v>1000</v>
      </c>
      <c r="J26" s="584"/>
    </row>
    <row r="27" spans="1:10" ht="49.5" customHeight="1">
      <c r="A27" s="928">
        <v>15</v>
      </c>
      <c r="B27" s="934" t="s">
        <v>751</v>
      </c>
      <c r="C27" s="935">
        <f t="shared" si="2"/>
        <v>1000</v>
      </c>
      <c r="D27" s="935"/>
      <c r="E27" s="935"/>
      <c r="F27" s="943"/>
      <c r="G27" s="943"/>
      <c r="H27" s="935">
        <v>1000</v>
      </c>
      <c r="I27" s="943"/>
      <c r="J27" s="584"/>
    </row>
    <row r="28" spans="1:10" ht="56.25" customHeight="1">
      <c r="A28" s="928">
        <v>16</v>
      </c>
      <c r="B28" s="934" t="s">
        <v>752</v>
      </c>
      <c r="C28" s="935">
        <f t="shared" si="2"/>
        <v>770</v>
      </c>
      <c r="D28" s="935"/>
      <c r="E28" s="935"/>
      <c r="F28" s="943"/>
      <c r="G28" s="943"/>
      <c r="H28" s="943"/>
      <c r="I28" s="943">
        <v>770</v>
      </c>
      <c r="J28" s="584"/>
    </row>
    <row r="29" spans="1:10" ht="51.75" customHeight="1">
      <c r="A29" s="928">
        <v>17</v>
      </c>
      <c r="B29" s="934" t="s">
        <v>753</v>
      </c>
      <c r="C29" s="935">
        <f t="shared" si="2"/>
        <v>2000</v>
      </c>
      <c r="D29" s="935"/>
      <c r="E29" s="935"/>
      <c r="F29" s="943"/>
      <c r="G29" s="943"/>
      <c r="H29" s="943"/>
      <c r="I29" s="943">
        <v>2000</v>
      </c>
      <c r="J29" s="584"/>
    </row>
    <row r="30" spans="1:10" s="951" customFormat="1" ht="57" customHeight="1">
      <c r="A30" s="945">
        <v>18</v>
      </c>
      <c r="B30" s="946" t="s">
        <v>754</v>
      </c>
      <c r="C30" s="947">
        <v>523</v>
      </c>
      <c r="D30" s="948"/>
      <c r="E30" s="947">
        <v>509</v>
      </c>
      <c r="F30" s="949"/>
      <c r="G30" s="949"/>
      <c r="H30" s="949"/>
      <c r="I30" s="947"/>
      <c r="J30" s="950"/>
    </row>
    <row r="31" spans="1:10" s="951" customFormat="1" ht="45.75" customHeight="1">
      <c r="A31" s="945">
        <v>19</v>
      </c>
      <c r="B31" s="946" t="s">
        <v>755</v>
      </c>
      <c r="C31" s="947">
        <v>523</v>
      </c>
      <c r="D31" s="948"/>
      <c r="E31" s="947"/>
      <c r="F31" s="947">
        <v>509.243</v>
      </c>
      <c r="G31" s="949"/>
      <c r="H31" s="949"/>
      <c r="I31" s="947"/>
      <c r="J31" s="950"/>
    </row>
    <row r="32" spans="1:11" ht="59.25" customHeight="1">
      <c r="A32" s="928">
        <v>20</v>
      </c>
      <c r="B32" s="952" t="s">
        <v>756</v>
      </c>
      <c r="C32" s="629">
        <v>459</v>
      </c>
      <c r="D32" s="629"/>
      <c r="E32" s="629"/>
      <c r="F32" s="627">
        <f>C32</f>
        <v>459</v>
      </c>
      <c r="G32" s="627"/>
      <c r="H32" s="627"/>
      <c r="I32" s="627"/>
      <c r="J32" s="584"/>
      <c r="K32" s="584"/>
    </row>
    <row r="33" spans="1:11" ht="60" customHeight="1">
      <c r="A33" s="928">
        <v>21</v>
      </c>
      <c r="B33" s="952" t="s">
        <v>757</v>
      </c>
      <c r="C33" s="629"/>
      <c r="D33" s="629"/>
      <c r="E33" s="629"/>
      <c r="F33" s="627"/>
      <c r="G33" s="627"/>
      <c r="H33" s="627"/>
      <c r="I33" s="627"/>
      <c r="J33" s="584"/>
      <c r="K33" s="584"/>
    </row>
    <row r="34" spans="1:11" ht="62.25" customHeight="1">
      <c r="A34" s="928">
        <v>22</v>
      </c>
      <c r="B34" s="934" t="s">
        <v>758</v>
      </c>
      <c r="C34" s="629">
        <v>1394.3</v>
      </c>
      <c r="D34" s="629"/>
      <c r="E34" s="629"/>
      <c r="F34" s="627"/>
      <c r="G34" s="627"/>
      <c r="H34" s="627">
        <f>C34</f>
        <v>1394.3</v>
      </c>
      <c r="I34" s="627"/>
      <c r="J34" s="584"/>
      <c r="K34" s="584"/>
    </row>
    <row r="35" spans="1:11" ht="67.5" customHeight="1">
      <c r="A35" s="928">
        <v>23</v>
      </c>
      <c r="B35" s="934" t="s">
        <v>759</v>
      </c>
      <c r="C35" s="629">
        <v>330</v>
      </c>
      <c r="D35" s="629"/>
      <c r="E35" s="629"/>
      <c r="F35" s="627"/>
      <c r="G35" s="627"/>
      <c r="H35" s="627">
        <f>C35</f>
        <v>330</v>
      </c>
      <c r="I35" s="627"/>
      <c r="J35" s="584"/>
      <c r="K35" s="584"/>
    </row>
    <row r="36" spans="1:19" s="584" customFormat="1" ht="41.25" customHeight="1">
      <c r="A36" s="928">
        <v>24</v>
      </c>
      <c r="B36" s="934" t="s">
        <v>760</v>
      </c>
      <c r="C36" s="935"/>
      <c r="D36" s="935"/>
      <c r="E36" s="629"/>
      <c r="F36" s="627"/>
      <c r="G36" s="627"/>
      <c r="H36" s="627"/>
      <c r="I36" s="627"/>
      <c r="J36" s="953"/>
      <c r="K36" s="953"/>
      <c r="L36" s="953"/>
      <c r="M36" s="953"/>
      <c r="N36" s="953"/>
      <c r="O36" s="953"/>
      <c r="P36" s="953"/>
      <c r="Q36" s="953"/>
      <c r="R36" s="953"/>
      <c r="S36" s="953"/>
    </row>
    <row r="37" spans="1:19" s="584" customFormat="1" ht="76.5" customHeight="1">
      <c r="A37" s="928">
        <v>25</v>
      </c>
      <c r="B37" s="934" t="s">
        <v>761</v>
      </c>
      <c r="C37" s="935"/>
      <c r="D37" s="935"/>
      <c r="E37" s="629"/>
      <c r="F37" s="627"/>
      <c r="G37" s="627"/>
      <c r="H37" s="627"/>
      <c r="I37" s="627"/>
      <c r="J37" s="953"/>
      <c r="K37" s="953"/>
      <c r="L37" s="953"/>
      <c r="M37" s="953"/>
      <c r="N37" s="953"/>
      <c r="O37" s="953"/>
      <c r="P37" s="953"/>
      <c r="Q37" s="953"/>
      <c r="R37" s="953"/>
      <c r="S37" s="953"/>
    </row>
    <row r="38" spans="1:19" s="584" customFormat="1" ht="47.25">
      <c r="A38" s="928">
        <v>26</v>
      </c>
      <c r="B38" s="934" t="s">
        <v>762</v>
      </c>
      <c r="C38" s="935"/>
      <c r="D38" s="935"/>
      <c r="E38" s="629"/>
      <c r="F38" s="627"/>
      <c r="G38" s="627"/>
      <c r="H38" s="627"/>
      <c r="I38" s="627"/>
      <c r="J38" s="953"/>
      <c r="K38" s="953"/>
      <c r="L38" s="953"/>
      <c r="M38" s="953"/>
      <c r="N38" s="953"/>
      <c r="O38" s="953"/>
      <c r="P38" s="953"/>
      <c r="Q38" s="953"/>
      <c r="R38" s="953"/>
      <c r="S38" s="953"/>
    </row>
    <row r="39" spans="1:19" s="584" customFormat="1" ht="52.5" customHeight="1">
      <c r="A39" s="928">
        <v>27</v>
      </c>
      <c r="B39" s="934" t="s">
        <v>763</v>
      </c>
      <c r="C39" s="935"/>
      <c r="D39" s="935"/>
      <c r="E39" s="629"/>
      <c r="F39" s="627"/>
      <c r="G39" s="627"/>
      <c r="H39" s="627"/>
      <c r="I39" s="627"/>
      <c r="J39" s="953"/>
      <c r="K39" s="953"/>
      <c r="L39" s="953"/>
      <c r="M39" s="953"/>
      <c r="N39" s="953"/>
      <c r="O39" s="953"/>
      <c r="P39" s="953"/>
      <c r="Q39" s="953"/>
      <c r="R39" s="953"/>
      <c r="S39" s="953"/>
    </row>
    <row r="40" spans="1:19" s="584" customFormat="1" ht="54" customHeight="1">
      <c r="A40" s="928">
        <v>28</v>
      </c>
      <c r="B40" s="934" t="s">
        <v>764</v>
      </c>
      <c r="C40" s="935"/>
      <c r="D40" s="935"/>
      <c r="E40" s="629"/>
      <c r="F40" s="627"/>
      <c r="G40" s="627"/>
      <c r="H40" s="627"/>
      <c r="I40" s="627"/>
      <c r="J40" s="953"/>
      <c r="K40" s="953"/>
      <c r="L40" s="953"/>
      <c r="M40" s="953"/>
      <c r="N40" s="953"/>
      <c r="O40" s="953"/>
      <c r="P40" s="953"/>
      <c r="Q40" s="953"/>
      <c r="R40" s="953"/>
      <c r="S40" s="953"/>
    </row>
    <row r="41" spans="1:19" s="584" customFormat="1" ht="51" customHeight="1">
      <c r="A41" s="928">
        <v>29</v>
      </c>
      <c r="B41" s="934" t="s">
        <v>765</v>
      </c>
      <c r="C41" s="935"/>
      <c r="D41" s="935"/>
      <c r="E41" s="629"/>
      <c r="F41" s="627"/>
      <c r="G41" s="627"/>
      <c r="H41" s="627"/>
      <c r="I41" s="627"/>
      <c r="J41" s="953"/>
      <c r="K41" s="953"/>
      <c r="L41" s="953"/>
      <c r="M41" s="953"/>
      <c r="N41" s="953"/>
      <c r="O41" s="953"/>
      <c r="P41" s="953"/>
      <c r="Q41" s="953"/>
      <c r="R41" s="953"/>
      <c r="S41" s="953"/>
    </row>
    <row r="42" spans="1:19" ht="57" customHeight="1">
      <c r="A42" s="928">
        <v>30</v>
      </c>
      <c r="B42" s="954" t="s">
        <v>766</v>
      </c>
      <c r="C42" s="955">
        <v>1592.2</v>
      </c>
      <c r="D42" s="955"/>
      <c r="E42" s="629"/>
      <c r="F42" s="627">
        <v>1592.2</v>
      </c>
      <c r="G42" s="627"/>
      <c r="H42" s="627"/>
      <c r="I42" s="627"/>
      <c r="J42" s="956"/>
      <c r="K42" s="957"/>
      <c r="L42" s="957"/>
      <c r="M42" s="957"/>
      <c r="N42" s="957"/>
      <c r="O42" s="957"/>
      <c r="P42" s="957"/>
      <c r="Q42" s="957"/>
      <c r="R42" s="957"/>
      <c r="S42" s="957"/>
    </row>
    <row r="43" spans="1:19" ht="41.25" customHeight="1">
      <c r="A43" s="928">
        <v>31</v>
      </c>
      <c r="B43" s="954" t="s">
        <v>767</v>
      </c>
      <c r="C43" s="955">
        <v>1800</v>
      </c>
      <c r="D43" s="955"/>
      <c r="E43" s="629"/>
      <c r="F43" s="627"/>
      <c r="G43" s="627">
        <v>800</v>
      </c>
      <c r="H43" s="627">
        <v>1000</v>
      </c>
      <c r="I43" s="627"/>
      <c r="J43" s="956"/>
      <c r="K43" s="957"/>
      <c r="L43" s="957"/>
      <c r="M43" s="957"/>
      <c r="N43" s="957"/>
      <c r="O43" s="957"/>
      <c r="P43" s="957"/>
      <c r="Q43" s="957"/>
      <c r="R43" s="957"/>
      <c r="S43" s="957"/>
    </row>
    <row r="44" spans="1:10" ht="37.5" customHeight="1">
      <c r="A44" s="928">
        <v>32</v>
      </c>
      <c r="B44" s="934" t="s">
        <v>768</v>
      </c>
      <c r="C44" s="935">
        <v>265</v>
      </c>
      <c r="D44" s="935"/>
      <c r="E44" s="629">
        <v>220.49</v>
      </c>
      <c r="F44" s="627"/>
      <c r="G44" s="627">
        <v>45</v>
      </c>
      <c r="H44" s="627"/>
      <c r="I44" s="627"/>
      <c r="J44" s="584"/>
    </row>
    <row r="45" spans="1:10" ht="35.25" customHeight="1">
      <c r="A45" s="928">
        <v>33</v>
      </c>
      <c r="B45" s="934" t="s">
        <v>769</v>
      </c>
      <c r="C45" s="935">
        <v>378</v>
      </c>
      <c r="D45" s="935"/>
      <c r="E45" s="629">
        <v>278</v>
      </c>
      <c r="F45" s="627"/>
      <c r="G45" s="627">
        <v>100</v>
      </c>
      <c r="H45" s="627"/>
      <c r="I45" s="627"/>
      <c r="J45" s="584"/>
    </row>
    <row r="46" spans="1:10" ht="42" customHeight="1">
      <c r="A46" s="928">
        <v>34</v>
      </c>
      <c r="B46" s="934" t="s">
        <v>770</v>
      </c>
      <c r="C46" s="935"/>
      <c r="D46" s="935"/>
      <c r="E46" s="935"/>
      <c r="F46" s="943"/>
      <c r="G46" s="943"/>
      <c r="H46" s="943"/>
      <c r="I46" s="943"/>
      <c r="J46" s="584"/>
    </row>
    <row r="47" spans="1:10" ht="39" customHeight="1">
      <c r="A47" s="928">
        <v>35</v>
      </c>
      <c r="B47" s="934" t="s">
        <v>771</v>
      </c>
      <c r="C47" s="935"/>
      <c r="D47" s="935"/>
      <c r="E47" s="935"/>
      <c r="F47" s="943"/>
      <c r="G47" s="943"/>
      <c r="H47" s="943"/>
      <c r="I47" s="943"/>
      <c r="J47" s="584"/>
    </row>
    <row r="48" spans="1:10" ht="46.5" customHeight="1">
      <c r="A48" s="928">
        <v>36</v>
      </c>
      <c r="B48" s="934" t="s">
        <v>772</v>
      </c>
      <c r="C48" s="935">
        <v>1200</v>
      </c>
      <c r="D48" s="935"/>
      <c r="E48" s="935">
        <v>848</v>
      </c>
      <c r="F48" s="943">
        <v>133</v>
      </c>
      <c r="G48" s="943">
        <v>219</v>
      </c>
      <c r="H48" s="943"/>
      <c r="I48" s="943"/>
      <c r="J48" s="584"/>
    </row>
    <row r="49" spans="1:10" ht="44.25" customHeight="1">
      <c r="A49" s="928">
        <v>37</v>
      </c>
      <c r="B49" s="934" t="s">
        <v>773</v>
      </c>
      <c r="C49" s="935">
        <v>1105</v>
      </c>
      <c r="D49" s="935"/>
      <c r="E49" s="935">
        <v>1105</v>
      </c>
      <c r="F49" s="943"/>
      <c r="G49" s="943"/>
      <c r="H49" s="943"/>
      <c r="I49" s="943"/>
      <c r="J49" s="584"/>
    </row>
    <row r="50" spans="1:10" ht="58.5" customHeight="1">
      <c r="A50" s="928">
        <v>38</v>
      </c>
      <c r="B50" s="934" t="s">
        <v>774</v>
      </c>
      <c r="C50" s="935">
        <v>509.6</v>
      </c>
      <c r="D50" s="935"/>
      <c r="E50" s="935"/>
      <c r="F50" s="943"/>
      <c r="G50" s="935">
        <v>509.6</v>
      </c>
      <c r="H50" s="943"/>
      <c r="I50" s="943"/>
      <c r="J50" s="584"/>
    </row>
    <row r="51" spans="1:10" ht="54" customHeight="1">
      <c r="A51" s="928">
        <v>39</v>
      </c>
      <c r="B51" s="934" t="s">
        <v>775</v>
      </c>
      <c r="C51" s="935">
        <v>527.4</v>
      </c>
      <c r="D51" s="935"/>
      <c r="E51" s="935"/>
      <c r="F51" s="943"/>
      <c r="G51" s="935">
        <v>527.4</v>
      </c>
      <c r="H51" s="943"/>
      <c r="I51" s="943"/>
      <c r="J51" s="584"/>
    </row>
    <row r="52" spans="1:10" ht="55.5" customHeight="1">
      <c r="A52" s="928">
        <v>40</v>
      </c>
      <c r="B52" s="934" t="s">
        <v>776</v>
      </c>
      <c r="C52" s="935">
        <v>309.067</v>
      </c>
      <c r="D52" s="935"/>
      <c r="E52" s="935"/>
      <c r="F52" s="943"/>
      <c r="G52" s="943"/>
      <c r="H52" s="935">
        <v>309.067</v>
      </c>
      <c r="I52" s="943"/>
      <c r="J52" s="584"/>
    </row>
    <row r="53" spans="1:10" ht="40.5" customHeight="1">
      <c r="A53" s="928">
        <v>41</v>
      </c>
      <c r="B53" s="934" t="s">
        <v>777</v>
      </c>
      <c r="C53" s="935">
        <v>320.206</v>
      </c>
      <c r="D53" s="935"/>
      <c r="E53" s="935"/>
      <c r="F53" s="943"/>
      <c r="G53" s="943"/>
      <c r="H53" s="935">
        <v>320.206</v>
      </c>
      <c r="I53" s="943"/>
      <c r="J53" s="584"/>
    </row>
    <row r="54" spans="1:10" ht="54.75" customHeight="1">
      <c r="A54" s="928">
        <v>42</v>
      </c>
      <c r="B54" s="934" t="s">
        <v>778</v>
      </c>
      <c r="C54" s="935">
        <v>325.079</v>
      </c>
      <c r="D54" s="935"/>
      <c r="E54" s="935"/>
      <c r="F54" s="935">
        <v>325.079</v>
      </c>
      <c r="G54" s="943"/>
      <c r="H54" s="943"/>
      <c r="I54" s="943"/>
      <c r="J54" s="584"/>
    </row>
    <row r="55" spans="1:10" ht="51.75" customHeight="1">
      <c r="A55" s="928">
        <v>43</v>
      </c>
      <c r="B55" s="934" t="s">
        <v>779</v>
      </c>
      <c r="C55" s="943">
        <v>1379</v>
      </c>
      <c r="D55" s="935"/>
      <c r="E55" s="935"/>
      <c r="F55" s="943"/>
      <c r="G55" s="943"/>
      <c r="H55" s="943">
        <v>1379</v>
      </c>
      <c r="I55" s="943"/>
      <c r="J55" s="584"/>
    </row>
    <row r="56" spans="1:10" ht="51.75" customHeight="1">
      <c r="A56" s="928">
        <v>44</v>
      </c>
      <c r="B56" s="934" t="s">
        <v>780</v>
      </c>
      <c r="C56" s="943">
        <v>1656</v>
      </c>
      <c r="D56" s="935"/>
      <c r="E56" s="935"/>
      <c r="F56" s="943"/>
      <c r="G56" s="943"/>
      <c r="H56" s="943">
        <v>1656</v>
      </c>
      <c r="I56" s="943"/>
      <c r="J56" s="584"/>
    </row>
    <row r="57" spans="1:10" ht="54.75" customHeight="1">
      <c r="A57" s="928">
        <v>45</v>
      </c>
      <c r="B57" s="934" t="s">
        <v>781</v>
      </c>
      <c r="C57" s="943">
        <v>1234</v>
      </c>
      <c r="D57" s="935"/>
      <c r="E57" s="935"/>
      <c r="F57" s="943"/>
      <c r="G57" s="943"/>
      <c r="H57" s="943">
        <v>1234</v>
      </c>
      <c r="I57" s="943"/>
      <c r="J57" s="584"/>
    </row>
    <row r="58" spans="1:10" ht="54.75" customHeight="1">
      <c r="A58" s="928">
        <v>46</v>
      </c>
      <c r="B58" s="934" t="s">
        <v>782</v>
      </c>
      <c r="C58" s="943">
        <v>917</v>
      </c>
      <c r="D58" s="935"/>
      <c r="E58" s="935"/>
      <c r="F58" s="943"/>
      <c r="G58" s="943"/>
      <c r="H58" s="943">
        <v>917</v>
      </c>
      <c r="I58" s="943"/>
      <c r="J58" s="584"/>
    </row>
    <row r="59" spans="1:10" ht="52.5" customHeight="1">
      <c r="A59" s="928">
        <v>47</v>
      </c>
      <c r="B59" s="934" t="s">
        <v>783</v>
      </c>
      <c r="C59" s="943">
        <v>368</v>
      </c>
      <c r="D59" s="935"/>
      <c r="E59" s="935"/>
      <c r="F59" s="943"/>
      <c r="G59" s="943"/>
      <c r="H59" s="943">
        <v>368</v>
      </c>
      <c r="I59" s="943"/>
      <c r="J59" s="584"/>
    </row>
    <row r="60" spans="1:10" ht="55.5" customHeight="1">
      <c r="A60" s="928">
        <v>48</v>
      </c>
      <c r="B60" s="934" t="s">
        <v>784</v>
      </c>
      <c r="C60" s="943">
        <v>1152</v>
      </c>
      <c r="D60" s="935"/>
      <c r="E60" s="935"/>
      <c r="F60" s="943"/>
      <c r="G60" s="943"/>
      <c r="H60" s="943">
        <v>1152</v>
      </c>
      <c r="I60" s="943"/>
      <c r="J60" s="584"/>
    </row>
    <row r="61" spans="1:10" ht="57" customHeight="1">
      <c r="A61" s="928">
        <v>49</v>
      </c>
      <c r="B61" s="934" t="s">
        <v>785</v>
      </c>
      <c r="C61" s="943">
        <v>1068</v>
      </c>
      <c r="D61" s="935"/>
      <c r="E61" s="935"/>
      <c r="F61" s="943"/>
      <c r="G61" s="943"/>
      <c r="H61" s="943">
        <v>1068</v>
      </c>
      <c r="I61" s="943"/>
      <c r="J61" s="584"/>
    </row>
    <row r="62" spans="1:10" ht="59.25" customHeight="1">
      <c r="A62" s="928">
        <v>50</v>
      </c>
      <c r="B62" s="934" t="s">
        <v>786</v>
      </c>
      <c r="C62" s="943">
        <v>1353</v>
      </c>
      <c r="D62" s="935"/>
      <c r="E62" s="935"/>
      <c r="F62" s="943"/>
      <c r="G62" s="943"/>
      <c r="H62" s="943">
        <v>1353</v>
      </c>
      <c r="I62" s="943"/>
      <c r="J62" s="584"/>
    </row>
    <row r="63" spans="1:10" ht="59.25" customHeight="1">
      <c r="A63" s="928">
        <v>51</v>
      </c>
      <c r="B63" s="934" t="s">
        <v>787</v>
      </c>
      <c r="C63" s="943">
        <v>1041</v>
      </c>
      <c r="D63" s="935"/>
      <c r="E63" s="935"/>
      <c r="F63" s="943"/>
      <c r="G63" s="943"/>
      <c r="H63" s="943">
        <v>1041</v>
      </c>
      <c r="I63" s="943"/>
      <c r="J63" s="584"/>
    </row>
    <row r="64" spans="1:10" ht="52.5" customHeight="1">
      <c r="A64" s="928">
        <v>52</v>
      </c>
      <c r="B64" s="934" t="s">
        <v>788</v>
      </c>
      <c r="C64" s="943">
        <v>1635</v>
      </c>
      <c r="D64" s="935"/>
      <c r="E64" s="935"/>
      <c r="F64" s="943"/>
      <c r="G64" s="943"/>
      <c r="H64" s="943">
        <v>1635</v>
      </c>
      <c r="I64" s="943"/>
      <c r="J64" s="584"/>
    </row>
    <row r="65" spans="1:10" ht="52.5" customHeight="1">
      <c r="A65" s="928">
        <v>53</v>
      </c>
      <c r="B65" s="934" t="s">
        <v>789</v>
      </c>
      <c r="C65" s="943">
        <v>530</v>
      </c>
      <c r="D65" s="935"/>
      <c r="E65" s="935">
        <v>530</v>
      </c>
      <c r="F65" s="943"/>
      <c r="G65" s="943"/>
      <c r="H65" s="943"/>
      <c r="I65" s="943"/>
      <c r="J65" s="584"/>
    </row>
    <row r="66" spans="1:10" ht="52.5" customHeight="1">
      <c r="A66" s="928">
        <v>54</v>
      </c>
      <c r="B66" s="934" t="s">
        <v>790</v>
      </c>
      <c r="C66" s="943">
        <v>1489</v>
      </c>
      <c r="D66" s="935"/>
      <c r="E66" s="935"/>
      <c r="F66" s="943"/>
      <c r="G66" s="943"/>
      <c r="H66" s="943"/>
      <c r="I66" s="943">
        <v>1489</v>
      </c>
      <c r="J66" s="584"/>
    </row>
    <row r="67" spans="1:10" s="963" customFormat="1" ht="49.5">
      <c r="A67" s="928">
        <v>55</v>
      </c>
      <c r="B67" s="958" t="s">
        <v>722</v>
      </c>
      <c r="C67" s="959">
        <v>378</v>
      </c>
      <c r="D67" s="960">
        <v>0</v>
      </c>
      <c r="E67" s="960"/>
      <c r="F67" s="961"/>
      <c r="G67" s="961"/>
      <c r="H67" s="961"/>
      <c r="I67" s="961">
        <v>378</v>
      </c>
      <c r="J67" s="962"/>
    </row>
    <row r="68" spans="1:10" ht="16.5">
      <c r="A68" s="603"/>
      <c r="B68" s="926"/>
      <c r="C68" s="586"/>
      <c r="D68" s="586"/>
      <c r="E68" s="586"/>
      <c r="F68" s="584"/>
      <c r="G68" s="584"/>
      <c r="H68" s="584"/>
      <c r="I68" s="584"/>
      <c r="J68" s="584"/>
    </row>
    <row r="69" spans="1:10" ht="16.5">
      <c r="A69" s="603"/>
      <c r="B69" s="926"/>
      <c r="C69" s="586"/>
      <c r="D69" s="586"/>
      <c r="E69" s="586"/>
      <c r="F69" s="584"/>
      <c r="G69" s="584"/>
      <c r="H69" s="584"/>
      <c r="I69" s="584"/>
      <c r="J69" s="584"/>
    </row>
    <row r="70" spans="1:10" ht="16.5">
      <c r="A70" s="603"/>
      <c r="B70" s="926"/>
      <c r="C70" s="586"/>
      <c r="D70" s="586"/>
      <c r="E70" s="586"/>
      <c r="F70" s="584"/>
      <c r="G70" s="584"/>
      <c r="H70" s="584"/>
      <c r="I70" s="584"/>
      <c r="J70" s="584"/>
    </row>
    <row r="71" spans="1:10" ht="16.5">
      <c r="A71" s="603"/>
      <c r="B71" s="926"/>
      <c r="C71" s="586"/>
      <c r="D71" s="586"/>
      <c r="E71" s="586"/>
      <c r="F71" s="584"/>
      <c r="G71" s="584"/>
      <c r="H71" s="584"/>
      <c r="I71" s="584"/>
      <c r="J71" s="584"/>
    </row>
    <row r="72" spans="1:10" ht="16.5">
      <c r="A72" s="603"/>
      <c r="B72" s="926"/>
      <c r="C72" s="586"/>
      <c r="D72" s="586"/>
      <c r="E72" s="586"/>
      <c r="F72" s="584"/>
      <c r="G72" s="584"/>
      <c r="H72" s="584"/>
      <c r="I72" s="584"/>
      <c r="J72" s="584"/>
    </row>
    <row r="73" spans="1:10" ht="16.5">
      <c r="A73" s="603"/>
      <c r="B73" s="926"/>
      <c r="C73" s="586"/>
      <c r="D73" s="586"/>
      <c r="E73" s="586"/>
      <c r="F73" s="584"/>
      <c r="G73" s="584"/>
      <c r="H73" s="584"/>
      <c r="I73" s="584"/>
      <c r="J73" s="584"/>
    </row>
    <row r="74" spans="1:10" ht="16.5">
      <c r="A74" s="603"/>
      <c r="B74" s="926"/>
      <c r="C74" s="586"/>
      <c r="D74" s="586"/>
      <c r="E74" s="586"/>
      <c r="F74" s="584"/>
      <c r="G74" s="584"/>
      <c r="H74" s="584"/>
      <c r="I74" s="584"/>
      <c r="J74" s="584"/>
    </row>
    <row r="75" spans="1:10" ht="16.5">
      <c r="A75" s="603"/>
      <c r="B75" s="926"/>
      <c r="C75" s="586"/>
      <c r="D75" s="586"/>
      <c r="E75" s="586"/>
      <c r="F75" s="584"/>
      <c r="G75" s="584"/>
      <c r="H75" s="584"/>
      <c r="I75" s="584"/>
      <c r="J75" s="584"/>
    </row>
    <row r="76" spans="1:10" ht="16.5">
      <c r="A76" s="603"/>
      <c r="B76" s="926"/>
      <c r="C76" s="586"/>
      <c r="D76" s="586"/>
      <c r="E76" s="586"/>
      <c r="F76" s="584"/>
      <c r="G76" s="584"/>
      <c r="H76" s="584"/>
      <c r="I76" s="584"/>
      <c r="J76" s="584"/>
    </row>
    <row r="77" spans="1:10" ht="16.5">
      <c r="A77" s="603"/>
      <c r="B77" s="926"/>
      <c r="C77" s="586"/>
      <c r="D77" s="586"/>
      <c r="E77" s="586"/>
      <c r="F77" s="584"/>
      <c r="G77" s="584"/>
      <c r="H77" s="584"/>
      <c r="I77" s="584"/>
      <c r="J77" s="584"/>
    </row>
    <row r="78" spans="1:10" ht="16.5">
      <c r="A78" s="603"/>
      <c r="B78" s="926"/>
      <c r="C78" s="586"/>
      <c r="D78" s="586"/>
      <c r="E78" s="586"/>
      <c r="F78" s="584"/>
      <c r="G78" s="584"/>
      <c r="H78" s="584"/>
      <c r="I78" s="584"/>
      <c r="J78" s="584"/>
    </row>
    <row r="79" spans="1:10" ht="16.5">
      <c r="A79" s="603"/>
      <c r="B79" s="926"/>
      <c r="C79" s="586"/>
      <c r="D79" s="586"/>
      <c r="E79" s="586"/>
      <c r="F79" s="584"/>
      <c r="G79" s="584"/>
      <c r="H79" s="584"/>
      <c r="I79" s="584"/>
      <c r="J79" s="584"/>
    </row>
    <row r="80" spans="1:10" ht="16.5">
      <c r="A80" s="603"/>
      <c r="B80" s="926"/>
      <c r="C80" s="586"/>
      <c r="D80" s="586"/>
      <c r="E80" s="586"/>
      <c r="F80" s="584"/>
      <c r="G80" s="584"/>
      <c r="H80" s="584"/>
      <c r="I80" s="584"/>
      <c r="J80" s="584"/>
    </row>
    <row r="81" spans="1:10" ht="16.5">
      <c r="A81" s="603"/>
      <c r="B81" s="926"/>
      <c r="C81" s="586"/>
      <c r="D81" s="586"/>
      <c r="E81" s="586"/>
      <c r="F81" s="584"/>
      <c r="G81" s="584"/>
      <c r="H81" s="584"/>
      <c r="I81" s="584"/>
      <c r="J81" s="584"/>
    </row>
    <row r="82" spans="1:10" ht="16.5">
      <c r="A82" s="603"/>
      <c r="B82" s="926"/>
      <c r="C82" s="586"/>
      <c r="D82" s="586"/>
      <c r="E82" s="586"/>
      <c r="F82" s="584"/>
      <c r="G82" s="584"/>
      <c r="H82" s="584"/>
      <c r="I82" s="584"/>
      <c r="J82" s="584"/>
    </row>
    <row r="83" spans="1:10" ht="16.5">
      <c r="A83" s="603"/>
      <c r="B83" s="926"/>
      <c r="C83" s="586"/>
      <c r="D83" s="586"/>
      <c r="E83" s="586"/>
      <c r="F83" s="584"/>
      <c r="G83" s="584"/>
      <c r="H83" s="584"/>
      <c r="I83" s="584"/>
      <c r="J83" s="584"/>
    </row>
    <row r="84" spans="1:10" ht="16.5">
      <c r="A84" s="603"/>
      <c r="B84" s="926"/>
      <c r="C84" s="586"/>
      <c r="D84" s="586"/>
      <c r="E84" s="586"/>
      <c r="F84" s="584"/>
      <c r="G84" s="584"/>
      <c r="H84" s="584"/>
      <c r="I84" s="584"/>
      <c r="J84" s="584"/>
    </row>
    <row r="85" spans="1:10" ht="16.5">
      <c r="A85" s="603"/>
      <c r="B85" s="926"/>
      <c r="C85" s="586"/>
      <c r="D85" s="586"/>
      <c r="E85" s="586"/>
      <c r="F85" s="584"/>
      <c r="G85" s="584"/>
      <c r="H85" s="584"/>
      <c r="I85" s="584"/>
      <c r="J85" s="584"/>
    </row>
    <row r="86" spans="1:10" ht="16.5">
      <c r="A86" s="603"/>
      <c r="B86" s="926"/>
      <c r="C86" s="586"/>
      <c r="D86" s="586"/>
      <c r="E86" s="586"/>
      <c r="F86" s="584"/>
      <c r="G86" s="584"/>
      <c r="H86" s="584"/>
      <c r="I86" s="584"/>
      <c r="J86" s="584"/>
    </row>
    <row r="87" spans="1:10" ht="16.5">
      <c r="A87" s="603"/>
      <c r="B87" s="926"/>
      <c r="C87" s="586"/>
      <c r="D87" s="586"/>
      <c r="E87" s="586"/>
      <c r="F87" s="584"/>
      <c r="G87" s="584"/>
      <c r="H87" s="584"/>
      <c r="I87" s="584"/>
      <c r="J87" s="584"/>
    </row>
    <row r="88" spans="1:10" ht="16.5">
      <c r="A88" s="603"/>
      <c r="B88" s="926"/>
      <c r="C88" s="586"/>
      <c r="D88" s="586"/>
      <c r="E88" s="586"/>
      <c r="F88" s="584"/>
      <c r="G88" s="584"/>
      <c r="H88" s="584"/>
      <c r="I88" s="584"/>
      <c r="J88" s="584"/>
    </row>
    <row r="89" spans="1:10" ht="16.5">
      <c r="A89" s="603"/>
      <c r="B89" s="926"/>
      <c r="C89" s="586"/>
      <c r="D89" s="586"/>
      <c r="E89" s="586"/>
      <c r="F89" s="584"/>
      <c r="G89" s="584"/>
      <c r="H89" s="584"/>
      <c r="I89" s="584"/>
      <c r="J89" s="584"/>
    </row>
    <row r="90" spans="1:10" ht="16.5">
      <c r="A90" s="603"/>
      <c r="B90" s="926"/>
      <c r="C90" s="586"/>
      <c r="D90" s="586"/>
      <c r="E90" s="586"/>
      <c r="F90" s="584"/>
      <c r="G90" s="584"/>
      <c r="H90" s="584"/>
      <c r="I90" s="584"/>
      <c r="J90" s="584"/>
    </row>
    <row r="91" spans="1:10" ht="16.5">
      <c r="A91" s="603"/>
      <c r="B91" s="926"/>
      <c r="C91" s="586"/>
      <c r="D91" s="586"/>
      <c r="E91" s="586"/>
      <c r="F91" s="584"/>
      <c r="G91" s="584"/>
      <c r="H91" s="584"/>
      <c r="I91" s="584"/>
      <c r="J91" s="584"/>
    </row>
    <row r="92" spans="1:10" ht="16.5">
      <c r="A92" s="603"/>
      <c r="B92" s="926"/>
      <c r="C92" s="586"/>
      <c r="D92" s="586"/>
      <c r="E92" s="586"/>
      <c r="F92" s="584"/>
      <c r="G92" s="584"/>
      <c r="H92" s="584"/>
      <c r="I92" s="584"/>
      <c r="J92" s="584"/>
    </row>
    <row r="93" spans="1:10" ht="16.5">
      <c r="A93" s="603"/>
      <c r="B93" s="926"/>
      <c r="C93" s="586"/>
      <c r="D93" s="586"/>
      <c r="E93" s="586"/>
      <c r="F93" s="584"/>
      <c r="G93" s="584"/>
      <c r="H93" s="584"/>
      <c r="I93" s="584"/>
      <c r="J93" s="584"/>
    </row>
    <row r="94" spans="1:10" ht="16.5">
      <c r="A94" s="603"/>
      <c r="B94" s="926"/>
      <c r="C94" s="586"/>
      <c r="D94" s="586"/>
      <c r="E94" s="586"/>
      <c r="F94" s="584"/>
      <c r="G94" s="584"/>
      <c r="H94" s="584"/>
      <c r="I94" s="584"/>
      <c r="J94" s="584"/>
    </row>
    <row r="95" spans="1:10" ht="16.5">
      <c r="A95" s="603"/>
      <c r="B95" s="926"/>
      <c r="C95" s="586"/>
      <c r="D95" s="586"/>
      <c r="E95" s="586"/>
      <c r="F95" s="584"/>
      <c r="G95" s="584"/>
      <c r="H95" s="584"/>
      <c r="I95" s="584"/>
      <c r="J95" s="584"/>
    </row>
    <row r="96" spans="1:10" ht="16.5">
      <c r="A96" s="603"/>
      <c r="B96" s="926"/>
      <c r="C96" s="586"/>
      <c r="D96" s="586"/>
      <c r="E96" s="586"/>
      <c r="F96" s="584"/>
      <c r="G96" s="584"/>
      <c r="H96" s="584"/>
      <c r="I96" s="584"/>
      <c r="J96" s="584"/>
    </row>
    <row r="97" spans="1:10" ht="16.5">
      <c r="A97" s="603"/>
      <c r="B97" s="926"/>
      <c r="C97" s="586"/>
      <c r="D97" s="586"/>
      <c r="E97" s="586"/>
      <c r="F97" s="584"/>
      <c r="G97" s="584"/>
      <c r="H97" s="584"/>
      <c r="I97" s="584"/>
      <c r="J97" s="584"/>
    </row>
    <row r="98" spans="1:10" ht="16.5">
      <c r="A98" s="603"/>
      <c r="B98" s="926"/>
      <c r="C98" s="586"/>
      <c r="D98" s="586"/>
      <c r="E98" s="586"/>
      <c r="F98" s="584"/>
      <c r="G98" s="584"/>
      <c r="H98" s="584"/>
      <c r="I98" s="584"/>
      <c r="J98" s="584"/>
    </row>
    <row r="99" spans="1:10" ht="16.5">
      <c r="A99" s="603"/>
      <c r="B99" s="926"/>
      <c r="C99" s="586"/>
      <c r="D99" s="586"/>
      <c r="E99" s="586"/>
      <c r="F99" s="584"/>
      <c r="G99" s="584"/>
      <c r="H99" s="584"/>
      <c r="I99" s="584"/>
      <c r="J99" s="584"/>
    </row>
    <row r="100" spans="1:10" ht="16.5">
      <c r="A100" s="603"/>
      <c r="B100" s="926"/>
      <c r="C100" s="586"/>
      <c r="D100" s="586"/>
      <c r="E100" s="586"/>
      <c r="F100" s="584"/>
      <c r="G100" s="584"/>
      <c r="H100" s="584"/>
      <c r="I100" s="584"/>
      <c r="J100" s="584"/>
    </row>
    <row r="101" spans="1:10" ht="16.5">
      <c r="A101" s="603"/>
      <c r="B101" s="926"/>
      <c r="C101" s="586"/>
      <c r="D101" s="586"/>
      <c r="E101" s="586"/>
      <c r="F101" s="584"/>
      <c r="G101" s="584"/>
      <c r="H101" s="584"/>
      <c r="I101" s="584"/>
      <c r="J101" s="584"/>
    </row>
    <row r="102" spans="1:10" ht="16.5">
      <c r="A102" s="603"/>
      <c r="B102" s="926"/>
      <c r="C102" s="586"/>
      <c r="D102" s="586"/>
      <c r="E102" s="586"/>
      <c r="F102" s="584"/>
      <c r="G102" s="584"/>
      <c r="H102" s="584"/>
      <c r="I102" s="584"/>
      <c r="J102" s="584"/>
    </row>
    <row r="103" spans="1:10" ht="16.5">
      <c r="A103" s="603"/>
      <c r="B103" s="926"/>
      <c r="C103" s="586"/>
      <c r="D103" s="586"/>
      <c r="E103" s="586"/>
      <c r="F103" s="584"/>
      <c r="G103" s="584"/>
      <c r="H103" s="584"/>
      <c r="I103" s="584"/>
      <c r="J103" s="584"/>
    </row>
    <row r="104" spans="1:10" ht="16.5">
      <c r="A104" s="603"/>
      <c r="B104" s="926"/>
      <c r="C104" s="586"/>
      <c r="D104" s="586"/>
      <c r="E104" s="586"/>
      <c r="F104" s="584"/>
      <c r="G104" s="584"/>
      <c r="H104" s="584"/>
      <c r="I104" s="584"/>
      <c r="J104" s="584"/>
    </row>
    <row r="105" spans="1:10" ht="16.5">
      <c r="A105" s="603"/>
      <c r="B105" s="926"/>
      <c r="C105" s="586"/>
      <c r="D105" s="586"/>
      <c r="E105" s="586"/>
      <c r="F105" s="584"/>
      <c r="G105" s="584"/>
      <c r="H105" s="584"/>
      <c r="I105" s="584"/>
      <c r="J105" s="584"/>
    </row>
    <row r="106" spans="1:10" ht="16.5">
      <c r="A106" s="603"/>
      <c r="B106" s="926"/>
      <c r="C106" s="586"/>
      <c r="D106" s="586"/>
      <c r="E106" s="586"/>
      <c r="F106" s="584"/>
      <c r="G106" s="584"/>
      <c r="H106" s="584"/>
      <c r="I106" s="584"/>
      <c r="J106" s="584"/>
    </row>
    <row r="107" spans="1:10" ht="16.5">
      <c r="A107" s="603"/>
      <c r="B107" s="926"/>
      <c r="C107" s="586"/>
      <c r="D107" s="586"/>
      <c r="E107" s="586"/>
      <c r="F107" s="584"/>
      <c r="G107" s="584"/>
      <c r="H107" s="584"/>
      <c r="I107" s="584"/>
      <c r="J107" s="584"/>
    </row>
    <row r="108" spans="1:10" ht="16.5">
      <c r="A108" s="603"/>
      <c r="B108" s="926"/>
      <c r="C108" s="586"/>
      <c r="D108" s="586"/>
      <c r="E108" s="586"/>
      <c r="F108" s="584"/>
      <c r="G108" s="584"/>
      <c r="H108" s="584"/>
      <c r="I108" s="584"/>
      <c r="J108" s="584"/>
    </row>
    <row r="109" spans="1:10" ht="16.5">
      <c r="A109" s="603"/>
      <c r="B109" s="926"/>
      <c r="C109" s="586"/>
      <c r="D109" s="586"/>
      <c r="E109" s="586"/>
      <c r="F109" s="584"/>
      <c r="G109" s="584"/>
      <c r="H109" s="584"/>
      <c r="I109" s="584"/>
      <c r="J109" s="584"/>
    </row>
    <row r="110" spans="1:10" ht="16.5">
      <c r="A110" s="603"/>
      <c r="B110" s="926"/>
      <c r="C110" s="586"/>
      <c r="D110" s="586"/>
      <c r="E110" s="586"/>
      <c r="F110" s="584"/>
      <c r="G110" s="584"/>
      <c r="H110" s="584"/>
      <c r="I110" s="584"/>
      <c r="J110" s="584"/>
    </row>
    <row r="111" spans="1:10" ht="16.5">
      <c r="A111" s="603"/>
      <c r="B111" s="926"/>
      <c r="C111" s="586"/>
      <c r="D111" s="586"/>
      <c r="E111" s="586"/>
      <c r="F111" s="584"/>
      <c r="G111" s="584"/>
      <c r="H111" s="584"/>
      <c r="I111" s="584"/>
      <c r="J111" s="584"/>
    </row>
    <row r="112" spans="1:10" ht="16.5">
      <c r="A112" s="603"/>
      <c r="B112" s="926"/>
      <c r="C112" s="586"/>
      <c r="D112" s="586"/>
      <c r="E112" s="586"/>
      <c r="F112" s="584"/>
      <c r="G112" s="584"/>
      <c r="H112" s="584"/>
      <c r="I112" s="584"/>
      <c r="J112" s="584"/>
    </row>
    <row r="113" spans="1:10" ht="16.5">
      <c r="A113" s="603"/>
      <c r="B113" s="926"/>
      <c r="C113" s="586"/>
      <c r="D113" s="586"/>
      <c r="E113" s="586"/>
      <c r="F113" s="584"/>
      <c r="G113" s="584"/>
      <c r="H113" s="584"/>
      <c r="I113" s="584"/>
      <c r="J113" s="584"/>
    </row>
    <row r="114" spans="1:10" ht="16.5">
      <c r="A114" s="603"/>
      <c r="B114" s="926"/>
      <c r="C114" s="586"/>
      <c r="D114" s="586"/>
      <c r="E114" s="586"/>
      <c r="F114" s="584"/>
      <c r="G114" s="584"/>
      <c r="H114" s="584"/>
      <c r="I114" s="584"/>
      <c r="J114" s="584"/>
    </row>
    <row r="115" spans="1:10" ht="16.5">
      <c r="A115" s="603"/>
      <c r="B115" s="926"/>
      <c r="C115" s="586"/>
      <c r="D115" s="586"/>
      <c r="E115" s="586"/>
      <c r="F115" s="584"/>
      <c r="G115" s="584"/>
      <c r="H115" s="584"/>
      <c r="I115" s="584"/>
      <c r="J115" s="584"/>
    </row>
    <row r="116" spans="1:10" ht="16.5">
      <c r="A116" s="603"/>
      <c r="B116" s="926"/>
      <c r="C116" s="586"/>
      <c r="D116" s="586"/>
      <c r="E116" s="586"/>
      <c r="F116" s="584"/>
      <c r="G116" s="584"/>
      <c r="H116" s="584"/>
      <c r="I116" s="584"/>
      <c r="J116" s="584"/>
    </row>
    <row r="117" spans="1:10" ht="16.5">
      <c r="A117" s="603"/>
      <c r="B117" s="926"/>
      <c r="C117" s="586"/>
      <c r="D117" s="586"/>
      <c r="E117" s="586"/>
      <c r="F117" s="584"/>
      <c r="G117" s="584"/>
      <c r="H117" s="584"/>
      <c r="I117" s="584"/>
      <c r="J117" s="584"/>
    </row>
    <row r="118" spans="1:10" ht="16.5">
      <c r="A118" s="603"/>
      <c r="B118" s="926"/>
      <c r="C118" s="586"/>
      <c r="D118" s="586"/>
      <c r="E118" s="586"/>
      <c r="F118" s="584"/>
      <c r="G118" s="584"/>
      <c r="H118" s="584"/>
      <c r="I118" s="584"/>
      <c r="J118" s="584"/>
    </row>
    <row r="119" spans="1:10" ht="16.5">
      <c r="A119" s="603"/>
      <c r="B119" s="926"/>
      <c r="C119" s="586"/>
      <c r="D119" s="586"/>
      <c r="E119" s="586"/>
      <c r="F119" s="584"/>
      <c r="G119" s="584"/>
      <c r="H119" s="584"/>
      <c r="I119" s="584"/>
      <c r="J119" s="584"/>
    </row>
    <row r="120" spans="1:10" ht="16.5">
      <c r="A120" s="603"/>
      <c r="B120" s="926"/>
      <c r="C120" s="586"/>
      <c r="D120" s="586"/>
      <c r="E120" s="586"/>
      <c r="F120" s="584"/>
      <c r="G120" s="584"/>
      <c r="H120" s="584"/>
      <c r="I120" s="584"/>
      <c r="J120" s="584"/>
    </row>
    <row r="121" spans="1:10" ht="16.5">
      <c r="A121" s="603"/>
      <c r="B121" s="926"/>
      <c r="C121" s="586"/>
      <c r="D121" s="586"/>
      <c r="E121" s="586"/>
      <c r="F121" s="584"/>
      <c r="G121" s="584"/>
      <c r="H121" s="584"/>
      <c r="I121" s="584"/>
      <c r="J121" s="584"/>
    </row>
    <row r="122" spans="1:10" ht="16.5">
      <c r="A122" s="603"/>
      <c r="B122" s="926"/>
      <c r="C122" s="586"/>
      <c r="D122" s="586"/>
      <c r="E122" s="586"/>
      <c r="F122" s="584"/>
      <c r="G122" s="584"/>
      <c r="H122" s="584"/>
      <c r="I122" s="584"/>
      <c r="J122" s="584"/>
    </row>
    <row r="123" spans="1:10" ht="16.5">
      <c r="A123" s="603"/>
      <c r="B123" s="926"/>
      <c r="C123" s="586"/>
      <c r="D123" s="586"/>
      <c r="E123" s="586"/>
      <c r="F123" s="584"/>
      <c r="G123" s="584"/>
      <c r="H123" s="584"/>
      <c r="I123" s="584"/>
      <c r="J123" s="584"/>
    </row>
    <row r="124" spans="1:10" ht="16.5">
      <c r="A124" s="603"/>
      <c r="B124" s="926"/>
      <c r="C124" s="586"/>
      <c r="D124" s="586"/>
      <c r="E124" s="586"/>
      <c r="F124" s="584"/>
      <c r="G124" s="584"/>
      <c r="H124" s="584"/>
      <c r="I124" s="584"/>
      <c r="J124" s="584"/>
    </row>
    <row r="125" spans="1:10" ht="16.5">
      <c r="A125" s="603"/>
      <c r="B125" s="926"/>
      <c r="C125" s="586"/>
      <c r="D125" s="586"/>
      <c r="E125" s="586"/>
      <c r="F125" s="584"/>
      <c r="G125" s="584"/>
      <c r="H125" s="584"/>
      <c r="I125" s="584"/>
      <c r="J125" s="584"/>
    </row>
    <row r="126" spans="1:10" ht="16.5">
      <c r="A126" s="603"/>
      <c r="B126" s="926"/>
      <c r="C126" s="586"/>
      <c r="D126" s="586"/>
      <c r="E126" s="586"/>
      <c r="F126" s="584"/>
      <c r="G126" s="584"/>
      <c r="H126" s="584"/>
      <c r="I126" s="584"/>
      <c r="J126" s="584"/>
    </row>
    <row r="127" spans="1:10" ht="16.5">
      <c r="A127" s="603"/>
      <c r="B127" s="926"/>
      <c r="C127" s="586"/>
      <c r="D127" s="586"/>
      <c r="E127" s="586"/>
      <c r="F127" s="584"/>
      <c r="G127" s="584"/>
      <c r="H127" s="584"/>
      <c r="I127" s="584"/>
      <c r="J127" s="584"/>
    </row>
    <row r="128" spans="1:10" ht="16.5">
      <c r="A128" s="603"/>
      <c r="B128" s="926"/>
      <c r="C128" s="586"/>
      <c r="D128" s="586"/>
      <c r="E128" s="586"/>
      <c r="F128" s="584"/>
      <c r="G128" s="584"/>
      <c r="H128" s="584"/>
      <c r="I128" s="584"/>
      <c r="J128" s="584"/>
    </row>
    <row r="129" spans="1:10" ht="16.5">
      <c r="A129" s="603"/>
      <c r="B129" s="926"/>
      <c r="C129" s="586"/>
      <c r="D129" s="586"/>
      <c r="E129" s="586"/>
      <c r="F129" s="584"/>
      <c r="G129" s="584"/>
      <c r="H129" s="584"/>
      <c r="I129" s="584"/>
      <c r="J129" s="584"/>
    </row>
    <row r="130" spans="1:10" ht="16.5">
      <c r="A130" s="603"/>
      <c r="B130" s="926"/>
      <c r="C130" s="586"/>
      <c r="D130" s="586"/>
      <c r="E130" s="586"/>
      <c r="F130" s="584"/>
      <c r="G130" s="584"/>
      <c r="H130" s="584"/>
      <c r="I130" s="584"/>
      <c r="J130" s="584"/>
    </row>
    <row r="131" spans="1:10" ht="16.5">
      <c r="A131" s="603"/>
      <c r="B131" s="926"/>
      <c r="C131" s="586"/>
      <c r="D131" s="586"/>
      <c r="E131" s="586"/>
      <c r="F131" s="584"/>
      <c r="G131" s="584"/>
      <c r="H131" s="584"/>
      <c r="I131" s="584"/>
      <c r="J131" s="584"/>
    </row>
    <row r="132" spans="1:10" ht="16.5">
      <c r="A132" s="603"/>
      <c r="B132" s="926"/>
      <c r="C132" s="586"/>
      <c r="D132" s="586"/>
      <c r="E132" s="586"/>
      <c r="F132" s="584"/>
      <c r="G132" s="584"/>
      <c r="H132" s="584"/>
      <c r="I132" s="584"/>
      <c r="J132" s="584"/>
    </row>
    <row r="133" spans="1:10" ht="16.5">
      <c r="A133" s="603"/>
      <c r="B133" s="926"/>
      <c r="C133" s="586"/>
      <c r="D133" s="586"/>
      <c r="E133" s="586"/>
      <c r="F133" s="584"/>
      <c r="G133" s="584"/>
      <c r="H133" s="584"/>
      <c r="I133" s="584"/>
      <c r="J133" s="584"/>
    </row>
    <row r="134" spans="1:10" ht="16.5">
      <c r="A134" s="603"/>
      <c r="B134" s="926"/>
      <c r="C134" s="586"/>
      <c r="D134" s="586"/>
      <c r="E134" s="586"/>
      <c r="F134" s="584"/>
      <c r="G134" s="584"/>
      <c r="H134" s="584"/>
      <c r="I134" s="584"/>
      <c r="J134" s="584"/>
    </row>
    <row r="135" spans="1:10" ht="16.5">
      <c r="A135" s="603"/>
      <c r="B135" s="926"/>
      <c r="C135" s="586"/>
      <c r="D135" s="586"/>
      <c r="E135" s="586"/>
      <c r="F135" s="584"/>
      <c r="G135" s="584"/>
      <c r="H135" s="584"/>
      <c r="I135" s="584"/>
      <c r="J135" s="584"/>
    </row>
    <row r="136" spans="1:10" ht="16.5">
      <c r="A136" s="603"/>
      <c r="B136" s="926"/>
      <c r="C136" s="586"/>
      <c r="D136" s="586"/>
      <c r="E136" s="586"/>
      <c r="F136" s="584"/>
      <c r="G136" s="584"/>
      <c r="H136" s="584"/>
      <c r="I136" s="584"/>
      <c r="J136" s="584"/>
    </row>
    <row r="137" spans="1:10" ht="16.5">
      <c r="A137" s="603"/>
      <c r="B137" s="926"/>
      <c r="C137" s="586"/>
      <c r="D137" s="586"/>
      <c r="E137" s="586"/>
      <c r="F137" s="584"/>
      <c r="G137" s="584"/>
      <c r="H137" s="584"/>
      <c r="I137" s="584"/>
      <c r="J137" s="584"/>
    </row>
    <row r="138" spans="1:10" ht="16.5">
      <c r="A138" s="603"/>
      <c r="B138" s="926"/>
      <c r="C138" s="586"/>
      <c r="D138" s="586"/>
      <c r="E138" s="586"/>
      <c r="F138" s="584"/>
      <c r="G138" s="584"/>
      <c r="H138" s="584"/>
      <c r="I138" s="584"/>
      <c r="J138" s="584"/>
    </row>
    <row r="139" spans="1:10" ht="16.5">
      <c r="A139" s="603"/>
      <c r="B139" s="926"/>
      <c r="C139" s="586"/>
      <c r="D139" s="586"/>
      <c r="E139" s="586"/>
      <c r="F139" s="584"/>
      <c r="G139" s="584"/>
      <c r="H139" s="584"/>
      <c r="I139" s="584"/>
      <c r="J139" s="584"/>
    </row>
    <row r="140" spans="1:10" ht="16.5">
      <c r="A140" s="603"/>
      <c r="B140" s="926"/>
      <c r="C140" s="586"/>
      <c r="D140" s="586"/>
      <c r="E140" s="586"/>
      <c r="F140" s="584"/>
      <c r="G140" s="584"/>
      <c r="H140" s="584"/>
      <c r="I140" s="584"/>
      <c r="J140" s="584"/>
    </row>
    <row r="141" spans="1:10" ht="16.5">
      <c r="A141" s="603"/>
      <c r="B141" s="926"/>
      <c r="C141" s="586"/>
      <c r="D141" s="586"/>
      <c r="E141" s="586"/>
      <c r="F141" s="584"/>
      <c r="G141" s="584"/>
      <c r="H141" s="584"/>
      <c r="I141" s="584"/>
      <c r="J141" s="584"/>
    </row>
    <row r="142" spans="1:10" ht="16.5">
      <c r="A142" s="603"/>
      <c r="B142" s="926"/>
      <c r="C142" s="586"/>
      <c r="D142" s="586"/>
      <c r="E142" s="586"/>
      <c r="F142" s="584"/>
      <c r="G142" s="584"/>
      <c r="H142" s="584"/>
      <c r="I142" s="584"/>
      <c r="J142" s="584"/>
    </row>
    <row r="143" spans="1:10" ht="16.5">
      <c r="A143" s="603"/>
      <c r="B143" s="926"/>
      <c r="C143" s="586"/>
      <c r="D143" s="586"/>
      <c r="E143" s="586"/>
      <c r="F143" s="584"/>
      <c r="G143" s="584"/>
      <c r="H143" s="584"/>
      <c r="I143" s="584"/>
      <c r="J143" s="584"/>
    </row>
    <row r="144" spans="1:10" ht="16.5">
      <c r="A144" s="603"/>
      <c r="B144" s="926"/>
      <c r="C144" s="586"/>
      <c r="D144" s="586"/>
      <c r="E144" s="586"/>
      <c r="F144" s="584"/>
      <c r="G144" s="584"/>
      <c r="H144" s="584"/>
      <c r="I144" s="584"/>
      <c r="J144" s="584"/>
    </row>
    <row r="145" spans="1:10" ht="16.5">
      <c r="A145" s="603"/>
      <c r="B145" s="926"/>
      <c r="C145" s="586"/>
      <c r="D145" s="586"/>
      <c r="E145" s="586"/>
      <c r="F145" s="584"/>
      <c r="G145" s="584"/>
      <c r="H145" s="584"/>
      <c r="I145" s="584"/>
      <c r="J145" s="584"/>
    </row>
    <row r="146" spans="1:10" ht="16.5">
      <c r="A146" s="603"/>
      <c r="B146" s="926"/>
      <c r="C146" s="586"/>
      <c r="D146" s="586"/>
      <c r="E146" s="586"/>
      <c r="F146" s="584"/>
      <c r="G146" s="584"/>
      <c r="H146" s="584"/>
      <c r="I146" s="584"/>
      <c r="J146" s="584"/>
    </row>
    <row r="147" spans="1:10" ht="16.5">
      <c r="A147" s="603"/>
      <c r="B147" s="926"/>
      <c r="C147" s="586"/>
      <c r="D147" s="586"/>
      <c r="E147" s="586"/>
      <c r="F147" s="584"/>
      <c r="G147" s="584"/>
      <c r="H147" s="584"/>
      <c r="I147" s="584"/>
      <c r="J147" s="584"/>
    </row>
    <row r="148" spans="1:10" ht="16.5">
      <c r="A148" s="603"/>
      <c r="B148" s="926"/>
      <c r="C148" s="586"/>
      <c r="D148" s="586"/>
      <c r="E148" s="586"/>
      <c r="F148" s="584"/>
      <c r="G148" s="584"/>
      <c r="H148" s="584"/>
      <c r="I148" s="584"/>
      <c r="J148" s="584"/>
    </row>
    <row r="149" spans="1:10" ht="16.5">
      <c r="A149" s="603"/>
      <c r="B149" s="926"/>
      <c r="C149" s="586"/>
      <c r="D149" s="586"/>
      <c r="E149" s="586"/>
      <c r="F149" s="584"/>
      <c r="G149" s="584"/>
      <c r="H149" s="584"/>
      <c r="I149" s="584"/>
      <c r="J149" s="584"/>
    </row>
    <row r="150" spans="1:10" ht="16.5">
      <c r="A150" s="603"/>
      <c r="B150" s="926"/>
      <c r="C150" s="586"/>
      <c r="D150" s="586"/>
      <c r="E150" s="586"/>
      <c r="F150" s="584"/>
      <c r="G150" s="584"/>
      <c r="H150" s="584"/>
      <c r="I150" s="584"/>
      <c r="J150" s="584"/>
    </row>
    <row r="151" spans="1:10" ht="16.5">
      <c r="A151" s="603"/>
      <c r="B151" s="926"/>
      <c r="C151" s="586"/>
      <c r="D151" s="586"/>
      <c r="E151" s="586"/>
      <c r="F151" s="584"/>
      <c r="G151" s="584"/>
      <c r="H151" s="584"/>
      <c r="I151" s="584"/>
      <c r="J151" s="584"/>
    </row>
    <row r="152" spans="1:10" ht="16.5">
      <c r="A152" s="603"/>
      <c r="B152" s="926"/>
      <c r="C152" s="586"/>
      <c r="D152" s="586"/>
      <c r="E152" s="586"/>
      <c r="F152" s="584"/>
      <c r="G152" s="584"/>
      <c r="H152" s="584"/>
      <c r="I152" s="584"/>
      <c r="J152" s="584"/>
    </row>
    <row r="153" spans="1:10" ht="16.5">
      <c r="A153" s="603"/>
      <c r="B153" s="926"/>
      <c r="C153" s="586"/>
      <c r="D153" s="586"/>
      <c r="E153" s="586"/>
      <c r="F153" s="584"/>
      <c r="G153" s="584"/>
      <c r="H153" s="584"/>
      <c r="I153" s="584"/>
      <c r="J153" s="584"/>
    </row>
    <row r="154" spans="1:10" ht="16.5">
      <c r="A154" s="603"/>
      <c r="B154" s="926"/>
      <c r="C154" s="586"/>
      <c r="D154" s="586"/>
      <c r="E154" s="586"/>
      <c r="F154" s="584"/>
      <c r="G154" s="584"/>
      <c r="H154" s="584"/>
      <c r="I154" s="584"/>
      <c r="J154" s="584"/>
    </row>
    <row r="155" spans="1:10" ht="16.5">
      <c r="A155" s="603"/>
      <c r="B155" s="926"/>
      <c r="C155" s="586"/>
      <c r="D155" s="586"/>
      <c r="E155" s="586"/>
      <c r="F155" s="584"/>
      <c r="G155" s="584"/>
      <c r="H155" s="584"/>
      <c r="I155" s="584"/>
      <c r="J155" s="584"/>
    </row>
    <row r="156" spans="1:10" ht="16.5">
      <c r="A156" s="603"/>
      <c r="B156" s="926"/>
      <c r="C156" s="586"/>
      <c r="D156" s="586"/>
      <c r="E156" s="586"/>
      <c r="F156" s="584"/>
      <c r="G156" s="584"/>
      <c r="H156" s="584"/>
      <c r="I156" s="584"/>
      <c r="J156" s="584"/>
    </row>
    <row r="157" spans="1:10" ht="16.5">
      <c r="A157" s="603"/>
      <c r="B157" s="926"/>
      <c r="C157" s="586"/>
      <c r="D157" s="586"/>
      <c r="E157" s="586"/>
      <c r="F157" s="584"/>
      <c r="G157" s="584"/>
      <c r="H157" s="584"/>
      <c r="I157" s="584"/>
      <c r="J157" s="584"/>
    </row>
    <row r="158" spans="1:10" ht="16.5">
      <c r="A158" s="603"/>
      <c r="B158" s="926"/>
      <c r="C158" s="586"/>
      <c r="D158" s="586"/>
      <c r="E158" s="586"/>
      <c r="F158" s="584"/>
      <c r="G158" s="584"/>
      <c r="H158" s="584"/>
      <c r="I158" s="584"/>
      <c r="J158" s="584"/>
    </row>
    <row r="159" spans="1:10" ht="16.5">
      <c r="A159" s="603"/>
      <c r="B159" s="926"/>
      <c r="C159" s="586"/>
      <c r="D159" s="586"/>
      <c r="E159" s="586"/>
      <c r="F159" s="584"/>
      <c r="G159" s="584"/>
      <c r="H159" s="584"/>
      <c r="I159" s="584"/>
      <c r="J159" s="584"/>
    </row>
    <row r="160" spans="1:10" ht="16.5">
      <c r="A160" s="603"/>
      <c r="B160" s="926"/>
      <c r="C160" s="586"/>
      <c r="D160" s="586"/>
      <c r="E160" s="586"/>
      <c r="F160" s="584"/>
      <c r="G160" s="584"/>
      <c r="H160" s="584"/>
      <c r="I160" s="584"/>
      <c r="J160" s="584"/>
    </row>
    <row r="161" spans="1:10" ht="16.5">
      <c r="A161" s="603"/>
      <c r="B161" s="926"/>
      <c r="C161" s="586"/>
      <c r="D161" s="586"/>
      <c r="E161" s="586"/>
      <c r="F161" s="584"/>
      <c r="G161" s="584"/>
      <c r="H161" s="584"/>
      <c r="I161" s="584"/>
      <c r="J161" s="584"/>
    </row>
    <row r="162" spans="1:10" ht="16.5">
      <c r="A162" s="603"/>
      <c r="B162" s="926"/>
      <c r="C162" s="586"/>
      <c r="D162" s="586"/>
      <c r="E162" s="586"/>
      <c r="F162" s="584"/>
      <c r="G162" s="584"/>
      <c r="H162" s="584"/>
      <c r="I162" s="584"/>
      <c r="J162" s="584"/>
    </row>
    <row r="163" spans="1:10" ht="16.5">
      <c r="A163" s="603"/>
      <c r="B163" s="926"/>
      <c r="C163" s="586"/>
      <c r="D163" s="586"/>
      <c r="E163" s="586"/>
      <c r="F163" s="584"/>
      <c r="G163" s="584"/>
      <c r="H163" s="584"/>
      <c r="I163" s="584"/>
      <c r="J163" s="584"/>
    </row>
    <row r="164" spans="1:10" ht="16.5">
      <c r="A164" s="603"/>
      <c r="B164" s="926"/>
      <c r="C164" s="586"/>
      <c r="D164" s="586"/>
      <c r="E164" s="586"/>
      <c r="F164" s="584"/>
      <c r="G164" s="584"/>
      <c r="H164" s="584"/>
      <c r="I164" s="584"/>
      <c r="J164" s="584"/>
    </row>
    <row r="165" spans="1:10" ht="16.5">
      <c r="A165" s="603"/>
      <c r="B165" s="926"/>
      <c r="C165" s="586"/>
      <c r="D165" s="586"/>
      <c r="E165" s="586"/>
      <c r="F165" s="584"/>
      <c r="G165" s="584"/>
      <c r="H165" s="584"/>
      <c r="I165" s="584"/>
      <c r="J165" s="584"/>
    </row>
    <row r="166" spans="1:10" ht="16.5">
      <c r="A166" s="603"/>
      <c r="B166" s="926"/>
      <c r="C166" s="586"/>
      <c r="D166" s="586"/>
      <c r="E166" s="586"/>
      <c r="F166" s="584"/>
      <c r="G166" s="584"/>
      <c r="H166" s="584"/>
      <c r="I166" s="584"/>
      <c r="J166" s="584"/>
    </row>
    <row r="167" spans="1:10" ht="16.5">
      <c r="A167" s="603"/>
      <c r="B167" s="926"/>
      <c r="C167" s="586"/>
      <c r="D167" s="586"/>
      <c r="E167" s="586"/>
      <c r="F167" s="584"/>
      <c r="G167" s="584"/>
      <c r="H167" s="584"/>
      <c r="I167" s="584"/>
      <c r="J167" s="584"/>
    </row>
    <row r="168" spans="1:10" ht="16.5">
      <c r="A168" s="603"/>
      <c r="B168" s="926"/>
      <c r="C168" s="586"/>
      <c r="D168" s="586"/>
      <c r="E168" s="586"/>
      <c r="F168" s="584"/>
      <c r="G168" s="584"/>
      <c r="H168" s="584"/>
      <c r="I168" s="584"/>
      <c r="J168" s="584"/>
    </row>
    <row r="169" spans="1:10" ht="16.5">
      <c r="A169" s="603"/>
      <c r="B169" s="926"/>
      <c r="C169" s="586"/>
      <c r="D169" s="586"/>
      <c r="E169" s="586"/>
      <c r="F169" s="584"/>
      <c r="G169" s="584"/>
      <c r="H169" s="584"/>
      <c r="I169" s="584"/>
      <c r="J169" s="584"/>
    </row>
    <row r="170" spans="1:10" ht="16.5">
      <c r="A170" s="603"/>
      <c r="B170" s="926"/>
      <c r="C170" s="586"/>
      <c r="D170" s="586"/>
      <c r="E170" s="586"/>
      <c r="F170" s="584"/>
      <c r="G170" s="584"/>
      <c r="H170" s="584"/>
      <c r="I170" s="584"/>
      <c r="J170" s="584"/>
    </row>
    <row r="171" spans="1:10" ht="16.5">
      <c r="A171" s="603"/>
      <c r="B171" s="926"/>
      <c r="C171" s="586"/>
      <c r="D171" s="586"/>
      <c r="E171" s="586"/>
      <c r="F171" s="584"/>
      <c r="G171" s="584"/>
      <c r="H171" s="584"/>
      <c r="I171" s="584"/>
      <c r="J171" s="584"/>
    </row>
    <row r="172" spans="1:10" ht="16.5">
      <c r="A172" s="603"/>
      <c r="B172" s="926"/>
      <c r="C172" s="586"/>
      <c r="D172" s="586"/>
      <c r="E172" s="586"/>
      <c r="F172" s="584"/>
      <c r="G172" s="584"/>
      <c r="H172" s="584"/>
      <c r="I172" s="584"/>
      <c r="J172" s="584"/>
    </row>
    <row r="173" spans="1:10" ht="16.5">
      <c r="A173" s="603"/>
      <c r="B173" s="926"/>
      <c r="C173" s="586"/>
      <c r="D173" s="586"/>
      <c r="E173" s="586"/>
      <c r="F173" s="584"/>
      <c r="G173" s="584"/>
      <c r="H173" s="584"/>
      <c r="I173" s="584"/>
      <c r="J173" s="584"/>
    </row>
    <row r="174" spans="1:10" ht="16.5">
      <c r="A174" s="603"/>
      <c r="B174" s="926"/>
      <c r="C174" s="586"/>
      <c r="D174" s="586"/>
      <c r="E174" s="586"/>
      <c r="F174" s="584"/>
      <c r="G174" s="584"/>
      <c r="H174" s="584"/>
      <c r="I174" s="584"/>
      <c r="J174" s="584"/>
    </row>
    <row r="175" spans="1:10" ht="16.5">
      <c r="A175" s="603"/>
      <c r="B175" s="926"/>
      <c r="C175" s="586"/>
      <c r="D175" s="586"/>
      <c r="E175" s="586"/>
      <c r="F175" s="584"/>
      <c r="G175" s="584"/>
      <c r="H175" s="584"/>
      <c r="I175" s="584"/>
      <c r="J175" s="584"/>
    </row>
    <row r="176" spans="1:10" ht="16.5">
      <c r="A176" s="603"/>
      <c r="B176" s="926"/>
      <c r="C176" s="586"/>
      <c r="D176" s="586"/>
      <c r="E176" s="586"/>
      <c r="F176" s="584"/>
      <c r="G176" s="584"/>
      <c r="H176" s="584"/>
      <c r="I176" s="584"/>
      <c r="J176" s="584"/>
    </row>
    <row r="177" spans="1:10" ht="16.5">
      <c r="A177" s="603"/>
      <c r="B177" s="926"/>
      <c r="C177" s="586"/>
      <c r="D177" s="586"/>
      <c r="E177" s="586"/>
      <c r="F177" s="584"/>
      <c r="G177" s="584"/>
      <c r="H177" s="584"/>
      <c r="I177" s="584"/>
      <c r="J177" s="584"/>
    </row>
    <row r="178" spans="1:10" ht="16.5">
      <c r="A178" s="603"/>
      <c r="B178" s="926"/>
      <c r="C178" s="586"/>
      <c r="D178" s="586"/>
      <c r="E178" s="586"/>
      <c r="F178" s="584"/>
      <c r="G178" s="584"/>
      <c r="H178" s="584"/>
      <c r="I178" s="584"/>
      <c r="J178" s="584"/>
    </row>
    <row r="179" spans="1:10" ht="16.5">
      <c r="A179" s="603"/>
      <c r="B179" s="926"/>
      <c r="C179" s="586"/>
      <c r="D179" s="586"/>
      <c r="E179" s="586"/>
      <c r="F179" s="584"/>
      <c r="G179" s="584"/>
      <c r="H179" s="584"/>
      <c r="I179" s="584"/>
      <c r="J179" s="584"/>
    </row>
    <row r="180" spans="1:10" ht="16.5">
      <c r="A180" s="603"/>
      <c r="B180" s="926"/>
      <c r="C180" s="586"/>
      <c r="D180" s="586"/>
      <c r="E180" s="586"/>
      <c r="F180" s="584"/>
      <c r="G180" s="584"/>
      <c r="H180" s="584"/>
      <c r="I180" s="584"/>
      <c r="J180" s="584"/>
    </row>
    <row r="181" spans="1:10" ht="16.5">
      <c r="A181" s="603"/>
      <c r="B181" s="926"/>
      <c r="C181" s="586"/>
      <c r="D181" s="586"/>
      <c r="E181" s="586"/>
      <c r="F181" s="584"/>
      <c r="G181" s="584"/>
      <c r="H181" s="584"/>
      <c r="I181" s="584"/>
      <c r="J181" s="584"/>
    </row>
    <row r="182" spans="1:10" ht="16.5">
      <c r="A182" s="603"/>
      <c r="B182" s="926"/>
      <c r="C182" s="586"/>
      <c r="D182" s="586"/>
      <c r="E182" s="586"/>
      <c r="F182" s="584"/>
      <c r="G182" s="584"/>
      <c r="H182" s="584"/>
      <c r="I182" s="584"/>
      <c r="J182" s="584"/>
    </row>
    <row r="183" spans="1:10" ht="16.5">
      <c r="A183" s="603"/>
      <c r="B183" s="926"/>
      <c r="C183" s="586"/>
      <c r="D183" s="586"/>
      <c r="E183" s="586"/>
      <c r="F183" s="584"/>
      <c r="G183" s="584"/>
      <c r="H183" s="584"/>
      <c r="I183" s="584"/>
      <c r="J183" s="584"/>
    </row>
    <row r="184" spans="1:10" ht="16.5">
      <c r="A184" s="603"/>
      <c r="B184" s="926"/>
      <c r="C184" s="586"/>
      <c r="D184" s="586"/>
      <c r="E184" s="586"/>
      <c r="F184" s="584"/>
      <c r="G184" s="584"/>
      <c r="H184" s="584"/>
      <c r="I184" s="584"/>
      <c r="J184" s="584"/>
    </row>
    <row r="185" spans="1:10" ht="16.5">
      <c r="A185" s="603"/>
      <c r="B185" s="926"/>
      <c r="C185" s="586"/>
      <c r="D185" s="586"/>
      <c r="E185" s="586"/>
      <c r="F185" s="584"/>
      <c r="G185" s="584"/>
      <c r="H185" s="584"/>
      <c r="I185" s="584"/>
      <c r="J185" s="584"/>
    </row>
    <row r="186" spans="1:10" ht="16.5">
      <c r="A186" s="603"/>
      <c r="B186" s="926"/>
      <c r="C186" s="586"/>
      <c r="D186" s="586"/>
      <c r="E186" s="586"/>
      <c r="F186" s="584"/>
      <c r="G186" s="584"/>
      <c r="H186" s="584"/>
      <c r="I186" s="584"/>
      <c r="J186" s="584"/>
    </row>
    <row r="187" spans="1:10" ht="16.5">
      <c r="A187" s="603"/>
      <c r="B187" s="926"/>
      <c r="C187" s="586"/>
      <c r="D187" s="586"/>
      <c r="E187" s="586"/>
      <c r="F187" s="584"/>
      <c r="G187" s="584"/>
      <c r="H187" s="584"/>
      <c r="I187" s="584"/>
      <c r="J187" s="584"/>
    </row>
    <row r="188" spans="1:10" ht="16.5">
      <c r="A188" s="603"/>
      <c r="B188" s="926"/>
      <c r="C188" s="586"/>
      <c r="D188" s="586"/>
      <c r="E188" s="586"/>
      <c r="F188" s="584"/>
      <c r="G188" s="584"/>
      <c r="H188" s="584"/>
      <c r="I188" s="584"/>
      <c r="J188" s="584"/>
    </row>
    <row r="189" spans="1:10" ht="16.5">
      <c r="A189" s="603"/>
      <c r="B189" s="926"/>
      <c r="C189" s="586"/>
      <c r="D189" s="586"/>
      <c r="E189" s="586"/>
      <c r="F189" s="584"/>
      <c r="G189" s="584"/>
      <c r="H189" s="584"/>
      <c r="I189" s="584"/>
      <c r="J189" s="584"/>
    </row>
    <row r="190" spans="1:10" ht="16.5">
      <c r="A190" s="603"/>
      <c r="B190" s="926"/>
      <c r="C190" s="586"/>
      <c r="D190" s="586"/>
      <c r="E190" s="586"/>
      <c r="F190" s="584"/>
      <c r="G190" s="584"/>
      <c r="H190" s="584"/>
      <c r="I190" s="584"/>
      <c r="J190" s="584"/>
    </row>
    <row r="191" spans="1:10" ht="16.5">
      <c r="A191" s="603"/>
      <c r="B191" s="926"/>
      <c r="C191" s="586"/>
      <c r="D191" s="586"/>
      <c r="E191" s="586"/>
      <c r="F191" s="584"/>
      <c r="G191" s="584"/>
      <c r="H191" s="584"/>
      <c r="I191" s="584"/>
      <c r="J191" s="584"/>
    </row>
    <row r="192" spans="1:10" ht="16.5">
      <c r="A192" s="603"/>
      <c r="B192" s="926"/>
      <c r="C192" s="586"/>
      <c r="D192" s="586"/>
      <c r="E192" s="586"/>
      <c r="F192" s="584"/>
      <c r="G192" s="584"/>
      <c r="H192" s="584"/>
      <c r="I192" s="584"/>
      <c r="J192" s="584"/>
    </row>
    <row r="193" spans="1:10" ht="16.5">
      <c r="A193" s="603"/>
      <c r="B193" s="926"/>
      <c r="C193" s="586"/>
      <c r="D193" s="586"/>
      <c r="E193" s="586"/>
      <c r="F193" s="584"/>
      <c r="G193" s="584"/>
      <c r="H193" s="584"/>
      <c r="I193" s="584"/>
      <c r="J193" s="584"/>
    </row>
    <row r="194" spans="1:10" ht="16.5">
      <c r="A194" s="603"/>
      <c r="B194" s="926"/>
      <c r="C194" s="586"/>
      <c r="D194" s="586"/>
      <c r="E194" s="586"/>
      <c r="F194" s="584"/>
      <c r="G194" s="584"/>
      <c r="H194" s="584"/>
      <c r="I194" s="584"/>
      <c r="J194" s="584"/>
    </row>
    <row r="195" spans="1:10" ht="16.5">
      <c r="A195" s="603"/>
      <c r="B195" s="926"/>
      <c r="C195" s="586"/>
      <c r="D195" s="586"/>
      <c r="E195" s="586"/>
      <c r="F195" s="584"/>
      <c r="G195" s="584"/>
      <c r="H195" s="584"/>
      <c r="I195" s="584"/>
      <c r="J195" s="584"/>
    </row>
    <row r="196" spans="1:10" ht="16.5">
      <c r="A196" s="603"/>
      <c r="B196" s="926"/>
      <c r="C196" s="586"/>
      <c r="D196" s="586"/>
      <c r="E196" s="586"/>
      <c r="F196" s="584"/>
      <c r="G196" s="584"/>
      <c r="H196" s="584"/>
      <c r="I196" s="584"/>
      <c r="J196" s="584"/>
    </row>
    <row r="197" spans="1:10" ht="16.5">
      <c r="A197" s="603"/>
      <c r="B197" s="926"/>
      <c r="C197" s="586"/>
      <c r="D197" s="586"/>
      <c r="E197" s="586"/>
      <c r="F197" s="584"/>
      <c r="G197" s="584"/>
      <c r="H197" s="584"/>
      <c r="I197" s="584"/>
      <c r="J197" s="584"/>
    </row>
    <row r="198" spans="1:10" ht="16.5">
      <c r="A198" s="603"/>
      <c r="B198" s="926"/>
      <c r="C198" s="586"/>
      <c r="D198" s="586"/>
      <c r="E198" s="586"/>
      <c r="F198" s="584"/>
      <c r="G198" s="584"/>
      <c r="H198" s="584"/>
      <c r="I198" s="584"/>
      <c r="J198" s="584"/>
    </row>
    <row r="199" spans="1:10" ht="16.5">
      <c r="A199" s="603"/>
      <c r="B199" s="926"/>
      <c r="C199" s="586"/>
      <c r="D199" s="586"/>
      <c r="E199" s="586"/>
      <c r="F199" s="584"/>
      <c r="G199" s="584"/>
      <c r="H199" s="584"/>
      <c r="I199" s="584"/>
      <c r="J199" s="584"/>
    </row>
    <row r="200" spans="1:10" ht="16.5">
      <c r="A200" s="603"/>
      <c r="B200" s="926"/>
      <c r="C200" s="586"/>
      <c r="D200" s="586"/>
      <c r="E200" s="586"/>
      <c r="F200" s="584"/>
      <c r="G200" s="584"/>
      <c r="H200" s="584"/>
      <c r="I200" s="584"/>
      <c r="J200" s="584"/>
    </row>
    <row r="201" spans="1:10" ht="16.5">
      <c r="A201" s="603"/>
      <c r="B201" s="926"/>
      <c r="C201" s="586"/>
      <c r="D201" s="586"/>
      <c r="E201" s="586"/>
      <c r="F201" s="584"/>
      <c r="G201" s="584"/>
      <c r="H201" s="584"/>
      <c r="I201" s="584"/>
      <c r="J201" s="584"/>
    </row>
    <row r="202" spans="1:10" ht="16.5">
      <c r="A202" s="603"/>
      <c r="B202" s="926"/>
      <c r="C202" s="586"/>
      <c r="D202" s="586"/>
      <c r="E202" s="586"/>
      <c r="F202" s="584"/>
      <c r="G202" s="584"/>
      <c r="H202" s="584"/>
      <c r="I202" s="584"/>
      <c r="J202" s="584"/>
    </row>
    <row r="203" spans="1:10" ht="16.5">
      <c r="A203" s="603"/>
      <c r="B203" s="926"/>
      <c r="C203" s="586"/>
      <c r="D203" s="586"/>
      <c r="E203" s="586"/>
      <c r="F203" s="584"/>
      <c r="G203" s="584"/>
      <c r="H203" s="584"/>
      <c r="I203" s="584"/>
      <c r="J203" s="584"/>
    </row>
    <row r="204" spans="1:10" ht="16.5">
      <c r="A204" s="603"/>
      <c r="B204" s="926"/>
      <c r="C204" s="586"/>
      <c r="D204" s="586"/>
      <c r="E204" s="586"/>
      <c r="F204" s="584"/>
      <c r="G204" s="584"/>
      <c r="H204" s="584"/>
      <c r="I204" s="584"/>
      <c r="J204" s="584"/>
    </row>
    <row r="205" spans="1:10" ht="16.5">
      <c r="A205" s="603"/>
      <c r="B205" s="926"/>
      <c r="C205" s="586"/>
      <c r="D205" s="586"/>
      <c r="E205" s="586"/>
      <c r="F205" s="584"/>
      <c r="G205" s="584"/>
      <c r="H205" s="584"/>
      <c r="I205" s="584"/>
      <c r="J205" s="584"/>
    </row>
    <row r="206" spans="1:10" ht="16.5">
      <c r="A206" s="603"/>
      <c r="B206" s="926"/>
      <c r="C206" s="586"/>
      <c r="D206" s="586"/>
      <c r="E206" s="586"/>
      <c r="F206" s="584"/>
      <c r="G206" s="584"/>
      <c r="H206" s="584"/>
      <c r="I206" s="584"/>
      <c r="J206" s="584"/>
    </row>
    <row r="207" spans="1:10" ht="16.5">
      <c r="A207" s="603"/>
      <c r="B207" s="926"/>
      <c r="C207" s="586"/>
      <c r="D207" s="586"/>
      <c r="E207" s="586"/>
      <c r="F207" s="584"/>
      <c r="G207" s="584"/>
      <c r="H207" s="584"/>
      <c r="I207" s="584"/>
      <c r="J207" s="584"/>
    </row>
    <row r="208" spans="1:10" ht="16.5">
      <c r="A208" s="603"/>
      <c r="B208" s="926"/>
      <c r="C208" s="586"/>
      <c r="D208" s="586"/>
      <c r="E208" s="586"/>
      <c r="F208" s="584"/>
      <c r="G208" s="584"/>
      <c r="H208" s="584"/>
      <c r="I208" s="584"/>
      <c r="J208" s="584"/>
    </row>
    <row r="209" spans="1:10" ht="16.5">
      <c r="A209" s="603"/>
      <c r="B209" s="926"/>
      <c r="C209" s="586"/>
      <c r="D209" s="586"/>
      <c r="E209" s="586"/>
      <c r="F209" s="584"/>
      <c r="G209" s="584"/>
      <c r="H209" s="584"/>
      <c r="I209" s="584"/>
      <c r="J209" s="584"/>
    </row>
    <row r="210" spans="1:10" ht="16.5">
      <c r="A210" s="603"/>
      <c r="B210" s="926"/>
      <c r="C210" s="586"/>
      <c r="D210" s="586"/>
      <c r="E210" s="586"/>
      <c r="F210" s="584"/>
      <c r="G210" s="584"/>
      <c r="H210" s="584"/>
      <c r="I210" s="584"/>
      <c r="J210" s="584"/>
    </row>
    <row r="211" spans="1:10" ht="16.5">
      <c r="A211" s="603"/>
      <c r="B211" s="926"/>
      <c r="C211" s="586"/>
      <c r="D211" s="586"/>
      <c r="E211" s="586"/>
      <c r="F211" s="584"/>
      <c r="G211" s="584"/>
      <c r="H211" s="584"/>
      <c r="I211" s="584"/>
      <c r="J211" s="584"/>
    </row>
    <row r="212" spans="1:10" ht="16.5">
      <c r="A212" s="603"/>
      <c r="B212" s="926"/>
      <c r="C212" s="586"/>
      <c r="D212" s="586"/>
      <c r="E212" s="586"/>
      <c r="F212" s="584"/>
      <c r="G212" s="584"/>
      <c r="H212" s="584"/>
      <c r="I212" s="584"/>
      <c r="J212" s="584"/>
    </row>
    <row r="213" spans="1:10" ht="16.5">
      <c r="A213" s="603"/>
      <c r="B213" s="926"/>
      <c r="C213" s="586"/>
      <c r="D213" s="586"/>
      <c r="E213" s="586"/>
      <c r="F213" s="584"/>
      <c r="G213" s="584"/>
      <c r="H213" s="584"/>
      <c r="I213" s="584"/>
      <c r="J213" s="584"/>
    </row>
    <row r="214" spans="1:10" ht="16.5">
      <c r="A214" s="603"/>
      <c r="B214" s="926"/>
      <c r="C214" s="586"/>
      <c r="D214" s="586"/>
      <c r="E214" s="586"/>
      <c r="F214" s="584"/>
      <c r="G214" s="584"/>
      <c r="H214" s="584"/>
      <c r="I214" s="584"/>
      <c r="J214" s="584"/>
    </row>
    <row r="215" spans="1:10" ht="16.5">
      <c r="A215" s="603"/>
      <c r="B215" s="926"/>
      <c r="C215" s="586"/>
      <c r="D215" s="586"/>
      <c r="E215" s="586"/>
      <c r="F215" s="584"/>
      <c r="G215" s="584"/>
      <c r="H215" s="584"/>
      <c r="I215" s="584"/>
      <c r="J215" s="584"/>
    </row>
    <row r="216" spans="1:10" ht="16.5">
      <c r="A216" s="603"/>
      <c r="B216" s="926"/>
      <c r="C216" s="586"/>
      <c r="D216" s="586"/>
      <c r="E216" s="586"/>
      <c r="F216" s="584"/>
      <c r="G216" s="584"/>
      <c r="H216" s="584"/>
      <c r="I216" s="584"/>
      <c r="J216" s="584"/>
    </row>
    <row r="217" spans="1:10" ht="16.5">
      <c r="A217" s="603"/>
      <c r="B217" s="926"/>
      <c r="C217" s="586"/>
      <c r="D217" s="586"/>
      <c r="E217" s="586"/>
      <c r="F217" s="584"/>
      <c r="G217" s="584"/>
      <c r="H217" s="584"/>
      <c r="I217" s="584"/>
      <c r="J217" s="584"/>
    </row>
    <row r="218" spans="1:10" ht="16.5">
      <c r="A218" s="603"/>
      <c r="B218" s="926"/>
      <c r="C218" s="586"/>
      <c r="D218" s="586"/>
      <c r="E218" s="586"/>
      <c r="F218" s="584"/>
      <c r="G218" s="584"/>
      <c r="H218" s="584"/>
      <c r="I218" s="584"/>
      <c r="J218" s="584"/>
    </row>
    <row r="219" spans="1:10" ht="16.5">
      <c r="A219" s="603"/>
      <c r="B219" s="926"/>
      <c r="C219" s="586"/>
      <c r="D219" s="586"/>
      <c r="E219" s="586"/>
      <c r="F219" s="584"/>
      <c r="G219" s="584"/>
      <c r="H219" s="584"/>
      <c r="I219" s="584"/>
      <c r="J219" s="584"/>
    </row>
    <row r="220" spans="1:10" ht="16.5">
      <c r="A220" s="603"/>
      <c r="B220" s="926"/>
      <c r="C220" s="586"/>
      <c r="D220" s="586"/>
      <c r="E220" s="586"/>
      <c r="F220" s="584"/>
      <c r="G220" s="584"/>
      <c r="H220" s="584"/>
      <c r="I220" s="584"/>
      <c r="J220" s="584"/>
    </row>
    <row r="221" spans="1:10" ht="16.5">
      <c r="A221" s="603"/>
      <c r="B221" s="926"/>
      <c r="C221" s="586"/>
      <c r="D221" s="586"/>
      <c r="E221" s="586"/>
      <c r="F221" s="584"/>
      <c r="G221" s="584"/>
      <c r="H221" s="584"/>
      <c r="I221" s="584"/>
      <c r="J221" s="584"/>
    </row>
    <row r="222" spans="1:10" ht="16.5">
      <c r="A222" s="603"/>
      <c r="B222" s="926"/>
      <c r="C222" s="586"/>
      <c r="D222" s="586"/>
      <c r="E222" s="586"/>
      <c r="F222" s="584"/>
      <c r="G222" s="584"/>
      <c r="H222" s="584"/>
      <c r="I222" s="584"/>
      <c r="J222" s="584"/>
    </row>
    <row r="223" spans="1:10" ht="16.5">
      <c r="A223" s="603"/>
      <c r="B223" s="926"/>
      <c r="C223" s="586"/>
      <c r="D223" s="586"/>
      <c r="E223" s="586"/>
      <c r="F223" s="584"/>
      <c r="G223" s="584"/>
      <c r="H223" s="584"/>
      <c r="I223" s="584"/>
      <c r="J223" s="584"/>
    </row>
    <row r="224" spans="1:10" ht="16.5">
      <c r="A224" s="603"/>
      <c r="B224" s="926"/>
      <c r="C224" s="586"/>
      <c r="D224" s="586"/>
      <c r="E224" s="586"/>
      <c r="F224" s="584"/>
      <c r="G224" s="584"/>
      <c r="H224" s="584"/>
      <c r="I224" s="584"/>
      <c r="J224" s="584"/>
    </row>
    <row r="225" spans="1:10" ht="16.5">
      <c r="A225" s="603"/>
      <c r="B225" s="926"/>
      <c r="C225" s="586"/>
      <c r="D225" s="586"/>
      <c r="E225" s="586"/>
      <c r="F225" s="584"/>
      <c r="G225" s="584"/>
      <c r="H225" s="584"/>
      <c r="I225" s="584"/>
      <c r="J225" s="584"/>
    </row>
    <row r="226" spans="1:10" ht="16.5">
      <c r="A226" s="603"/>
      <c r="B226" s="926"/>
      <c r="C226" s="586"/>
      <c r="D226" s="586"/>
      <c r="E226" s="586"/>
      <c r="F226" s="584"/>
      <c r="G226" s="584"/>
      <c r="H226" s="584"/>
      <c r="I226" s="584"/>
      <c r="J226" s="584"/>
    </row>
    <row r="227" spans="1:10" ht="16.5">
      <c r="A227" s="603"/>
      <c r="B227" s="926"/>
      <c r="C227" s="586"/>
      <c r="D227" s="586"/>
      <c r="E227" s="586"/>
      <c r="F227" s="584"/>
      <c r="G227" s="584"/>
      <c r="H227" s="584"/>
      <c r="I227" s="584"/>
      <c r="J227" s="584"/>
    </row>
    <row r="228" spans="1:10" ht="16.5">
      <c r="A228" s="603"/>
      <c r="B228" s="926"/>
      <c r="C228" s="586"/>
      <c r="D228" s="586"/>
      <c r="E228" s="586"/>
      <c r="F228" s="584"/>
      <c r="G228" s="584"/>
      <c r="H228" s="584"/>
      <c r="I228" s="584"/>
      <c r="J228" s="584"/>
    </row>
    <row r="229" spans="1:10" ht="16.5">
      <c r="A229" s="603"/>
      <c r="B229" s="926"/>
      <c r="C229" s="586"/>
      <c r="D229" s="586"/>
      <c r="E229" s="586"/>
      <c r="F229" s="584"/>
      <c r="G229" s="584"/>
      <c r="H229" s="584"/>
      <c r="I229" s="584"/>
      <c r="J229" s="584"/>
    </row>
    <row r="230" spans="1:10" ht="16.5">
      <c r="A230" s="603"/>
      <c r="B230" s="926"/>
      <c r="C230" s="586"/>
      <c r="D230" s="586"/>
      <c r="E230" s="586"/>
      <c r="F230" s="584"/>
      <c r="G230" s="584"/>
      <c r="H230" s="584"/>
      <c r="I230" s="584"/>
      <c r="J230" s="584"/>
    </row>
    <row r="231" spans="1:10" ht="16.5">
      <c r="A231" s="603"/>
      <c r="B231" s="926"/>
      <c r="C231" s="586"/>
      <c r="D231" s="586"/>
      <c r="E231" s="586"/>
      <c r="F231" s="584"/>
      <c r="G231" s="584"/>
      <c r="H231" s="584"/>
      <c r="I231" s="584"/>
      <c r="J231" s="584"/>
    </row>
    <row r="232" spans="1:10" ht="16.5">
      <c r="A232" s="603"/>
      <c r="B232" s="926"/>
      <c r="C232" s="586"/>
      <c r="D232" s="586"/>
      <c r="E232" s="586"/>
      <c r="F232" s="584"/>
      <c r="G232" s="584"/>
      <c r="H232" s="584"/>
      <c r="I232" s="584"/>
      <c r="J232" s="584"/>
    </row>
    <row r="233" spans="1:10" ht="16.5">
      <c r="A233" s="603"/>
      <c r="B233" s="926"/>
      <c r="C233" s="586"/>
      <c r="D233" s="586"/>
      <c r="E233" s="586"/>
      <c r="F233" s="584"/>
      <c r="G233" s="584"/>
      <c r="H233" s="584"/>
      <c r="I233" s="584"/>
      <c r="J233" s="584"/>
    </row>
    <row r="234" spans="1:10" ht="16.5">
      <c r="A234" s="603"/>
      <c r="B234" s="926"/>
      <c r="C234" s="586"/>
      <c r="D234" s="586"/>
      <c r="E234" s="586"/>
      <c r="F234" s="584"/>
      <c r="G234" s="584"/>
      <c r="H234" s="584"/>
      <c r="I234" s="584"/>
      <c r="J234" s="584"/>
    </row>
    <row r="235" spans="1:10" ht="16.5">
      <c r="A235" s="603"/>
      <c r="B235" s="926"/>
      <c r="C235" s="586"/>
      <c r="D235" s="586"/>
      <c r="E235" s="586"/>
      <c r="F235" s="584"/>
      <c r="G235" s="584"/>
      <c r="H235" s="584"/>
      <c r="I235" s="584"/>
      <c r="J235" s="584"/>
    </row>
    <row r="236" spans="1:10" ht="16.5">
      <c r="A236" s="603"/>
      <c r="B236" s="926"/>
      <c r="C236" s="586"/>
      <c r="D236" s="586"/>
      <c r="E236" s="586"/>
      <c r="F236" s="584"/>
      <c r="G236" s="584"/>
      <c r="H236" s="584"/>
      <c r="I236" s="584"/>
      <c r="J236" s="584"/>
    </row>
    <row r="237" spans="1:10" ht="16.5">
      <c r="A237" s="603"/>
      <c r="B237" s="926"/>
      <c r="C237" s="586"/>
      <c r="D237" s="586"/>
      <c r="E237" s="586"/>
      <c r="F237" s="584"/>
      <c r="G237" s="584"/>
      <c r="H237" s="584"/>
      <c r="I237" s="584"/>
      <c r="J237" s="584"/>
    </row>
    <row r="238" spans="1:10" ht="16.5">
      <c r="A238" s="603"/>
      <c r="B238" s="926"/>
      <c r="C238" s="586"/>
      <c r="D238" s="586"/>
      <c r="E238" s="586"/>
      <c r="F238" s="584"/>
      <c r="G238" s="584"/>
      <c r="H238" s="584"/>
      <c r="I238" s="584"/>
      <c r="J238" s="584"/>
    </row>
    <row r="239" spans="1:10" ht="16.5">
      <c r="A239" s="603"/>
      <c r="B239" s="926"/>
      <c r="C239" s="586"/>
      <c r="D239" s="586"/>
      <c r="E239" s="586"/>
      <c r="F239" s="584"/>
      <c r="G239" s="584"/>
      <c r="H239" s="584"/>
      <c r="I239" s="584"/>
      <c r="J239" s="584"/>
    </row>
    <row r="240" spans="1:10" ht="16.5">
      <c r="A240" s="603"/>
      <c r="B240" s="926"/>
      <c r="C240" s="586"/>
      <c r="D240" s="586"/>
      <c r="E240" s="586"/>
      <c r="F240" s="584"/>
      <c r="G240" s="584"/>
      <c r="H240" s="584"/>
      <c r="I240" s="584"/>
      <c r="J240" s="584"/>
    </row>
    <row r="241" spans="1:10" ht="16.5">
      <c r="A241" s="603"/>
      <c r="B241" s="926"/>
      <c r="C241" s="586"/>
      <c r="D241" s="586"/>
      <c r="E241" s="586"/>
      <c r="F241" s="584"/>
      <c r="G241" s="584"/>
      <c r="H241" s="584"/>
      <c r="I241" s="584"/>
      <c r="J241" s="584"/>
    </row>
    <row r="242" spans="1:10" ht="16.5">
      <c r="A242" s="603"/>
      <c r="B242" s="926"/>
      <c r="C242" s="586"/>
      <c r="D242" s="586"/>
      <c r="E242" s="586"/>
      <c r="F242" s="584"/>
      <c r="G242" s="584"/>
      <c r="H242" s="584"/>
      <c r="I242" s="584"/>
      <c r="J242" s="584"/>
    </row>
    <row r="243" spans="1:10" ht="16.5">
      <c r="A243" s="603"/>
      <c r="B243" s="926"/>
      <c r="C243" s="586"/>
      <c r="D243" s="586"/>
      <c r="E243" s="586"/>
      <c r="F243" s="584"/>
      <c r="G243" s="584"/>
      <c r="H243" s="584"/>
      <c r="I243" s="584"/>
      <c r="J243" s="584"/>
    </row>
    <row r="244" spans="1:10" ht="16.5">
      <c r="A244" s="603"/>
      <c r="B244" s="926"/>
      <c r="C244" s="586"/>
      <c r="D244" s="586"/>
      <c r="E244" s="586"/>
      <c r="F244" s="584"/>
      <c r="G244" s="584"/>
      <c r="H244" s="584"/>
      <c r="I244" s="584"/>
      <c r="J244" s="584"/>
    </row>
    <row r="245" spans="1:10" ht="16.5">
      <c r="A245" s="603"/>
      <c r="B245" s="926"/>
      <c r="C245" s="586"/>
      <c r="D245" s="586"/>
      <c r="E245" s="586"/>
      <c r="F245" s="584"/>
      <c r="G245" s="584"/>
      <c r="H245" s="584"/>
      <c r="I245" s="584"/>
      <c r="J245" s="584"/>
    </row>
    <row r="246" spans="1:10" ht="16.5">
      <c r="A246" s="603"/>
      <c r="B246" s="926"/>
      <c r="C246" s="586"/>
      <c r="D246" s="586"/>
      <c r="E246" s="586"/>
      <c r="F246" s="584"/>
      <c r="G246" s="584"/>
      <c r="H246" s="584"/>
      <c r="I246" s="584"/>
      <c r="J246" s="584"/>
    </row>
    <row r="247" spans="1:10" ht="16.5">
      <c r="A247" s="603"/>
      <c r="B247" s="926"/>
      <c r="C247" s="586"/>
      <c r="D247" s="586"/>
      <c r="E247" s="586"/>
      <c r="F247" s="584"/>
      <c r="G247" s="584"/>
      <c r="H247" s="584"/>
      <c r="I247" s="584"/>
      <c r="J247" s="584"/>
    </row>
    <row r="248" spans="1:10" ht="16.5">
      <c r="A248" s="603"/>
      <c r="B248" s="926"/>
      <c r="C248" s="586"/>
      <c r="D248" s="586"/>
      <c r="E248" s="586"/>
      <c r="F248" s="584"/>
      <c r="G248" s="584"/>
      <c r="H248" s="584"/>
      <c r="I248" s="584"/>
      <c r="J248" s="584"/>
    </row>
    <row r="249" spans="1:10" ht="16.5">
      <c r="A249" s="603"/>
      <c r="B249" s="926"/>
      <c r="C249" s="586"/>
      <c r="D249" s="586"/>
      <c r="E249" s="586"/>
      <c r="F249" s="584"/>
      <c r="G249" s="584"/>
      <c r="H249" s="584"/>
      <c r="I249" s="584"/>
      <c r="J249" s="584"/>
    </row>
  </sheetData>
  <sheetProtection/>
  <mergeCells count="12">
    <mergeCell ref="C5:D5"/>
    <mergeCell ref="E5:E6"/>
    <mergeCell ref="F5:F6"/>
    <mergeCell ref="G5:G6"/>
    <mergeCell ref="H5:H6"/>
    <mergeCell ref="I5:I6"/>
    <mergeCell ref="H1:I1"/>
    <mergeCell ref="B2:I2"/>
    <mergeCell ref="A3:I3"/>
    <mergeCell ref="A5:A6"/>
    <mergeCell ref="B5:B6"/>
    <mergeCell ref="G4:I4"/>
  </mergeCells>
  <printOptions horizontalCentered="1"/>
  <pageMargins left="0.708661417322835" right="0.47244094488189" top="0.51" bottom="0.46" header="0.24" footer="0.2"/>
  <pageSetup fitToHeight="0" fitToWidth="1" horizontalDpi="600" verticalDpi="600" orientation="landscape" paperSize="9" r:id="rId1"/>
  <headerFooter alignWithMargins="0">
    <oddFooter>&amp;R&amp;P/&amp;N</oddFooter>
  </headerFooter>
</worksheet>
</file>

<file path=xl/worksheets/sheet19.xml><?xml version="1.0" encoding="utf-8"?>
<worksheet xmlns="http://schemas.openxmlformats.org/spreadsheetml/2006/main" xmlns:r="http://schemas.openxmlformats.org/officeDocument/2006/relationships">
  <dimension ref="A1:W34"/>
  <sheetViews>
    <sheetView view="pageBreakPreview" zoomScale="85" zoomScaleNormal="70" zoomScaleSheetLayoutView="85" zoomScalePageLayoutView="0" workbookViewId="0" topLeftCell="A1">
      <selection activeCell="H14" sqref="H14"/>
    </sheetView>
  </sheetViews>
  <sheetFormatPr defaultColWidth="9.140625" defaultRowHeight="12.75"/>
  <cols>
    <col min="1" max="1" width="7.28125" style="423" customWidth="1"/>
    <col min="2" max="2" width="38.57421875" style="423" customWidth="1"/>
    <col min="3" max="3" width="14.140625" style="423" customWidth="1"/>
    <col min="4" max="4" width="11.140625" style="423" customWidth="1"/>
    <col min="5" max="5" width="9.7109375" style="423" customWidth="1"/>
    <col min="6" max="6" width="9.8515625" style="423" customWidth="1"/>
    <col min="7" max="7" width="10.28125" style="423" customWidth="1"/>
    <col min="8" max="8" width="10.421875" style="423" customWidth="1"/>
    <col min="9" max="9" width="12.00390625" style="423" customWidth="1"/>
    <col min="10" max="10" width="18.140625" style="423" customWidth="1"/>
    <col min="11" max="11" width="8.421875" style="423" hidden="1" customWidth="1"/>
    <col min="12" max="12" width="13.8515625" style="423" customWidth="1"/>
    <col min="13" max="13" width="15.00390625" style="423" bestFit="1" customWidth="1"/>
    <col min="14" max="16" width="9.140625" style="423" customWidth="1"/>
    <col min="17" max="17" width="18.28125" style="423" customWidth="1"/>
    <col min="18" max="22" width="15.00390625" style="423" bestFit="1" customWidth="1"/>
    <col min="23" max="23" width="12.140625" style="423" customWidth="1"/>
    <col min="24" max="16384" width="9.140625" style="423" customWidth="1"/>
  </cols>
  <sheetData>
    <row r="1" spans="1:11" s="364" customFormat="1" ht="12.75" customHeight="1">
      <c r="A1" s="1302"/>
      <c r="B1" s="1302"/>
      <c r="C1" s="1302"/>
      <c r="D1" s="1302"/>
      <c r="E1" s="1302"/>
      <c r="F1" s="1302"/>
      <c r="G1" s="1302"/>
      <c r="H1" s="1302"/>
      <c r="I1" s="1302"/>
      <c r="J1" s="1302"/>
      <c r="K1" s="421"/>
    </row>
    <row r="2" spans="2:10" ht="24.75" customHeight="1">
      <c r="B2" s="783" t="s">
        <v>461</v>
      </c>
      <c r="C2" s="783"/>
      <c r="D2" s="783"/>
      <c r="E2" s="783"/>
      <c r="F2" s="783"/>
      <c r="G2" s="783"/>
      <c r="H2" s="783"/>
      <c r="I2" s="1351" t="s">
        <v>541</v>
      </c>
      <c r="J2" s="1351"/>
    </row>
    <row r="3" spans="1:10" ht="34.5" customHeight="1">
      <c r="A3" s="1355" t="s">
        <v>462</v>
      </c>
      <c r="B3" s="1355"/>
      <c r="C3" s="1355"/>
      <c r="D3" s="1355"/>
      <c r="E3" s="1355"/>
      <c r="F3" s="1355"/>
      <c r="G3" s="1355"/>
      <c r="H3" s="1355"/>
      <c r="I3" s="1355"/>
      <c r="J3" s="1355"/>
    </row>
    <row r="4" spans="1:8" ht="18" customHeight="1">
      <c r="A4" s="434"/>
      <c r="B4" s="434"/>
      <c r="C4" s="434"/>
      <c r="D4" s="434"/>
      <c r="E4" s="434"/>
      <c r="F4" s="434"/>
      <c r="G4" s="434"/>
      <c r="H4" s="434"/>
    </row>
    <row r="5" spans="1:10" ht="32.25" customHeight="1">
      <c r="A5" s="1354" t="s">
        <v>0</v>
      </c>
      <c r="B5" s="1354" t="s">
        <v>287</v>
      </c>
      <c r="C5" s="1354" t="s">
        <v>184</v>
      </c>
      <c r="D5" s="1354" t="s">
        <v>297</v>
      </c>
      <c r="E5" s="1354" t="s">
        <v>298</v>
      </c>
      <c r="F5" s="1352" t="s">
        <v>299</v>
      </c>
      <c r="G5" s="1352" t="s">
        <v>300</v>
      </c>
      <c r="H5" s="1352" t="s">
        <v>799</v>
      </c>
      <c r="I5" s="1352" t="s">
        <v>301</v>
      </c>
      <c r="J5" s="1354" t="s">
        <v>718</v>
      </c>
    </row>
    <row r="6" spans="1:10" ht="45.75" customHeight="1">
      <c r="A6" s="1354"/>
      <c r="B6" s="1354"/>
      <c r="C6" s="1354"/>
      <c r="D6" s="1354"/>
      <c r="E6" s="1354"/>
      <c r="F6" s="1353"/>
      <c r="G6" s="1353"/>
      <c r="H6" s="1353"/>
      <c r="I6" s="1353"/>
      <c r="J6" s="1354"/>
    </row>
    <row r="7" spans="1:10" ht="30" customHeight="1">
      <c r="A7" s="428" t="s">
        <v>101</v>
      </c>
      <c r="B7" s="429" t="s">
        <v>449</v>
      </c>
      <c r="C7" s="428"/>
      <c r="D7" s="432"/>
      <c r="E7" s="432"/>
      <c r="F7" s="432"/>
      <c r="G7" s="431"/>
      <c r="H7" s="431"/>
      <c r="I7" s="430"/>
      <c r="J7" s="430"/>
    </row>
    <row r="8" spans="1:22" ht="30" customHeight="1">
      <c r="A8" s="425">
        <v>1</v>
      </c>
      <c r="B8" s="424" t="s">
        <v>460</v>
      </c>
      <c r="C8" s="425" t="s">
        <v>449</v>
      </c>
      <c r="D8" s="548">
        <v>189</v>
      </c>
      <c r="E8" s="548">
        <v>121</v>
      </c>
      <c r="F8" s="548">
        <v>136</v>
      </c>
      <c r="G8" s="548">
        <v>144</v>
      </c>
      <c r="H8" s="548">
        <v>166</v>
      </c>
      <c r="I8" s="548">
        <v>178</v>
      </c>
      <c r="J8" s="432" t="s">
        <v>42</v>
      </c>
      <c r="L8" s="549">
        <f>L9+L11</f>
        <v>122</v>
      </c>
      <c r="M8" s="550"/>
      <c r="N8" s="550"/>
      <c r="O8" s="550"/>
      <c r="P8" s="550"/>
      <c r="R8" s="549"/>
      <c r="S8" s="549"/>
      <c r="T8" s="549"/>
      <c r="U8" s="549"/>
      <c r="V8" s="549"/>
    </row>
    <row r="9" spans="1:13" ht="30" customHeight="1">
      <c r="A9" s="425"/>
      <c r="B9" s="427" t="s">
        <v>214</v>
      </c>
      <c r="C9" s="425"/>
      <c r="D9" s="548"/>
      <c r="E9" s="548"/>
      <c r="F9" s="548"/>
      <c r="G9" s="548"/>
      <c r="H9" s="548"/>
      <c r="I9" s="548"/>
      <c r="J9" s="432"/>
      <c r="L9" s="549">
        <f>I8-L10</f>
        <v>95</v>
      </c>
      <c r="M9" s="550"/>
    </row>
    <row r="10" spans="1:23" ht="30" customHeight="1">
      <c r="A10" s="426" t="s">
        <v>284</v>
      </c>
      <c r="B10" s="424" t="s">
        <v>459</v>
      </c>
      <c r="C10" s="425" t="s">
        <v>449</v>
      </c>
      <c r="D10" s="548">
        <v>74</v>
      </c>
      <c r="E10" s="548">
        <v>16</v>
      </c>
      <c r="F10" s="548">
        <v>13</v>
      </c>
      <c r="G10" s="548">
        <v>9</v>
      </c>
      <c r="H10" s="548">
        <v>23</v>
      </c>
      <c r="I10" s="548">
        <v>22</v>
      </c>
      <c r="J10" s="432" t="s">
        <v>36</v>
      </c>
      <c r="L10" s="549">
        <f>E10+F10+G10+H10+I10</f>
        <v>83</v>
      </c>
      <c r="M10" s="550"/>
      <c r="N10" s="550"/>
      <c r="O10" s="550"/>
      <c r="P10" s="550"/>
      <c r="R10" s="549"/>
      <c r="S10" s="549"/>
      <c r="T10" s="549"/>
      <c r="U10" s="549"/>
      <c r="V10" s="549"/>
      <c r="W10" s="549"/>
    </row>
    <row r="11" spans="1:23" ht="30" customHeight="1">
      <c r="A11" s="426" t="s">
        <v>284</v>
      </c>
      <c r="B11" s="424" t="s">
        <v>458</v>
      </c>
      <c r="C11" s="425" t="s">
        <v>449</v>
      </c>
      <c r="D11" s="548"/>
      <c r="E11" s="548">
        <v>12</v>
      </c>
      <c r="F11" s="548">
        <v>1</v>
      </c>
      <c r="G11" s="548">
        <v>3</v>
      </c>
      <c r="H11" s="548">
        <v>1</v>
      </c>
      <c r="I11" s="548">
        <v>10</v>
      </c>
      <c r="J11" s="432"/>
      <c r="L11" s="549">
        <f>E11+F11+G11+H11+I11</f>
        <v>27</v>
      </c>
      <c r="M11" s="550"/>
      <c r="N11" s="550"/>
      <c r="O11" s="550"/>
      <c r="P11" s="550"/>
      <c r="R11" s="549"/>
      <c r="S11" s="549"/>
      <c r="T11" s="549"/>
      <c r="U11" s="549"/>
      <c r="V11" s="549"/>
      <c r="W11" s="549"/>
    </row>
    <row r="12" spans="1:23" ht="30" customHeight="1">
      <c r="A12" s="425">
        <v>2</v>
      </c>
      <c r="B12" s="424" t="s">
        <v>457</v>
      </c>
      <c r="C12" s="425" t="s">
        <v>367</v>
      </c>
      <c r="D12" s="548">
        <v>27000</v>
      </c>
      <c r="E12" s="548">
        <v>18969</v>
      </c>
      <c r="F12" s="548">
        <v>22550</v>
      </c>
      <c r="G12" s="548">
        <v>22613</v>
      </c>
      <c r="H12" s="548">
        <v>22818</v>
      </c>
      <c r="I12" s="548">
        <v>23008</v>
      </c>
      <c r="J12" s="432" t="s">
        <v>42</v>
      </c>
      <c r="L12" s="549"/>
      <c r="M12" s="550"/>
      <c r="N12" s="550"/>
      <c r="O12" s="550"/>
      <c r="P12" s="550"/>
      <c r="R12" s="549"/>
      <c r="S12" s="549"/>
      <c r="T12" s="549"/>
      <c r="U12" s="549"/>
      <c r="V12" s="549"/>
      <c r="W12" s="549"/>
    </row>
    <row r="13" spans="1:23" ht="30" customHeight="1">
      <c r="A13" s="425">
        <v>3</v>
      </c>
      <c r="B13" s="424" t="s">
        <v>456</v>
      </c>
      <c r="C13" s="425" t="s">
        <v>367</v>
      </c>
      <c r="D13" s="548">
        <v>27325</v>
      </c>
      <c r="E13" s="548">
        <v>21142</v>
      </c>
      <c r="F13" s="548">
        <v>21142</v>
      </c>
      <c r="G13" s="548">
        <v>22965</v>
      </c>
      <c r="H13" s="548">
        <v>23205</v>
      </c>
      <c r="I13" s="548">
        <v>23428</v>
      </c>
      <c r="J13" s="432" t="s">
        <v>42</v>
      </c>
      <c r="L13" s="549">
        <f>83-61</f>
        <v>22</v>
      </c>
      <c r="M13" s="550"/>
      <c r="N13" s="550"/>
      <c r="O13" s="550"/>
      <c r="P13" s="550"/>
      <c r="R13" s="549"/>
      <c r="S13" s="549"/>
      <c r="T13" s="549"/>
      <c r="U13" s="549"/>
      <c r="V13" s="549"/>
      <c r="W13" s="549"/>
    </row>
    <row r="14" spans="1:23" ht="37.5">
      <c r="A14" s="425"/>
      <c r="B14" s="427" t="s">
        <v>455</v>
      </c>
      <c r="C14" s="425" t="s">
        <v>367</v>
      </c>
      <c r="D14" s="548">
        <v>27000</v>
      </c>
      <c r="E14" s="548">
        <v>18969</v>
      </c>
      <c r="F14" s="548">
        <v>18969</v>
      </c>
      <c r="G14" s="548">
        <v>22613</v>
      </c>
      <c r="H14" s="548">
        <v>22818</v>
      </c>
      <c r="I14" s="548">
        <v>22945</v>
      </c>
      <c r="J14" s="432" t="s">
        <v>42</v>
      </c>
      <c r="L14" s="549"/>
      <c r="M14" s="550"/>
      <c r="N14" s="550"/>
      <c r="O14" s="550"/>
      <c r="P14" s="550"/>
      <c r="R14" s="549"/>
      <c r="S14" s="549"/>
      <c r="T14" s="549"/>
      <c r="U14" s="549"/>
      <c r="V14" s="549"/>
      <c r="W14" s="549"/>
    </row>
    <row r="15" spans="1:23" ht="30" customHeight="1">
      <c r="A15" s="428" t="s">
        <v>102</v>
      </c>
      <c r="B15" s="429" t="s">
        <v>451</v>
      </c>
      <c r="C15" s="425"/>
      <c r="D15" s="432"/>
      <c r="E15" s="432"/>
      <c r="F15" s="432"/>
      <c r="G15" s="431"/>
      <c r="H15" s="431"/>
      <c r="I15" s="430"/>
      <c r="J15" s="430"/>
      <c r="L15" s="549"/>
      <c r="M15" s="550"/>
      <c r="N15" s="550"/>
      <c r="O15" s="550"/>
      <c r="P15" s="550"/>
      <c r="R15" s="549"/>
      <c r="S15" s="549"/>
      <c r="T15" s="549"/>
      <c r="U15" s="549"/>
      <c r="V15" s="549"/>
      <c r="W15" s="549"/>
    </row>
    <row r="16" spans="1:23" ht="42" customHeight="1">
      <c r="A16" s="425">
        <v>1</v>
      </c>
      <c r="B16" s="424" t="s">
        <v>454</v>
      </c>
      <c r="C16" s="425" t="s">
        <v>451</v>
      </c>
      <c r="D16" s="432"/>
      <c r="E16" s="432"/>
      <c r="F16" s="432"/>
      <c r="G16" s="431"/>
      <c r="H16" s="431"/>
      <c r="I16" s="430"/>
      <c r="J16" s="430"/>
      <c r="L16" s="549"/>
      <c r="M16" s="550"/>
      <c r="N16" s="550"/>
      <c r="O16" s="550"/>
      <c r="P16" s="550"/>
      <c r="R16" s="549"/>
      <c r="S16" s="549"/>
      <c r="T16" s="549"/>
      <c r="U16" s="549"/>
      <c r="V16" s="549"/>
      <c r="W16" s="549"/>
    </row>
    <row r="17" spans="1:23" ht="30" customHeight="1">
      <c r="A17" s="425"/>
      <c r="B17" s="427" t="s">
        <v>214</v>
      </c>
      <c r="C17" s="425"/>
      <c r="D17" s="432"/>
      <c r="E17" s="432"/>
      <c r="F17" s="432"/>
      <c r="G17" s="431"/>
      <c r="H17" s="431"/>
      <c r="I17" s="430"/>
      <c r="J17" s="430"/>
      <c r="L17" s="549"/>
      <c r="M17" s="550"/>
      <c r="N17" s="550"/>
      <c r="O17" s="550"/>
      <c r="P17" s="550"/>
      <c r="R17" s="549"/>
      <c r="S17" s="549"/>
      <c r="T17" s="549"/>
      <c r="U17" s="549"/>
      <c r="V17" s="549"/>
      <c r="W17" s="549"/>
    </row>
    <row r="18" spans="1:23" ht="39" customHeight="1">
      <c r="A18" s="426" t="s">
        <v>284</v>
      </c>
      <c r="B18" s="424" t="s">
        <v>453</v>
      </c>
      <c r="C18" s="425" t="s">
        <v>451</v>
      </c>
      <c r="D18" s="430"/>
      <c r="E18" s="430"/>
      <c r="F18" s="430"/>
      <c r="G18" s="433"/>
      <c r="H18" s="433"/>
      <c r="I18" s="430"/>
      <c r="J18" s="430"/>
      <c r="L18" s="549"/>
      <c r="M18" s="550"/>
      <c r="N18" s="550"/>
      <c r="O18" s="550"/>
      <c r="P18" s="550"/>
      <c r="R18" s="549"/>
      <c r="S18" s="549"/>
      <c r="T18" s="549"/>
      <c r="U18" s="549"/>
      <c r="V18" s="549"/>
      <c r="W18" s="549"/>
    </row>
    <row r="19" spans="1:23" ht="42" customHeight="1">
      <c r="A19" s="426" t="s">
        <v>284</v>
      </c>
      <c r="B19" s="424" t="s">
        <v>452</v>
      </c>
      <c r="C19" s="425" t="s">
        <v>451</v>
      </c>
      <c r="D19" s="432"/>
      <c r="E19" s="432"/>
      <c r="F19" s="432"/>
      <c r="G19" s="431"/>
      <c r="H19" s="431"/>
      <c r="I19" s="430"/>
      <c r="J19" s="430"/>
      <c r="L19" s="549"/>
      <c r="M19" s="550"/>
      <c r="N19" s="550"/>
      <c r="O19" s="550"/>
      <c r="P19" s="550"/>
      <c r="R19" s="549"/>
      <c r="S19" s="549"/>
      <c r="T19" s="549"/>
      <c r="U19" s="549"/>
      <c r="V19" s="549"/>
      <c r="W19" s="549"/>
    </row>
    <row r="20" spans="1:23" ht="30" customHeight="1">
      <c r="A20" s="425">
        <v>2</v>
      </c>
      <c r="B20" s="424" t="s">
        <v>450</v>
      </c>
      <c r="C20" s="425" t="s">
        <v>449</v>
      </c>
      <c r="D20" s="432"/>
      <c r="E20" s="432"/>
      <c r="F20" s="432"/>
      <c r="G20" s="431"/>
      <c r="H20" s="431"/>
      <c r="I20" s="430"/>
      <c r="J20" s="430"/>
      <c r="L20" s="549"/>
      <c r="M20" s="550"/>
      <c r="N20" s="550"/>
      <c r="O20" s="550"/>
      <c r="P20" s="550"/>
      <c r="R20" s="549"/>
      <c r="S20" s="549"/>
      <c r="T20" s="549"/>
      <c r="U20" s="549"/>
      <c r="V20" s="549"/>
      <c r="W20" s="549"/>
    </row>
    <row r="21" spans="1:23" ht="37.5">
      <c r="A21" s="425">
        <v>3</v>
      </c>
      <c r="B21" s="424" t="s">
        <v>448</v>
      </c>
      <c r="C21" s="425" t="s">
        <v>367</v>
      </c>
      <c r="D21" s="424"/>
      <c r="E21" s="424"/>
      <c r="F21" s="424"/>
      <c r="G21" s="424"/>
      <c r="H21" s="424"/>
      <c r="I21" s="424"/>
      <c r="J21" s="424"/>
      <c r="L21" s="549"/>
      <c r="M21" s="550"/>
      <c r="N21" s="550"/>
      <c r="O21" s="550"/>
      <c r="P21" s="550"/>
      <c r="R21" s="549"/>
      <c r="S21" s="549"/>
      <c r="T21" s="549"/>
      <c r="U21" s="549"/>
      <c r="V21" s="549"/>
      <c r="W21" s="549"/>
    </row>
    <row r="22" spans="1:23" ht="30" customHeight="1">
      <c r="A22" s="428" t="s">
        <v>115</v>
      </c>
      <c r="B22" s="429" t="s">
        <v>447</v>
      </c>
      <c r="C22" s="428"/>
      <c r="D22" s="424"/>
      <c r="E22" s="424"/>
      <c r="F22" s="424"/>
      <c r="G22" s="424"/>
      <c r="H22" s="424"/>
      <c r="I22" s="424"/>
      <c r="J22" s="424"/>
      <c r="L22" s="549"/>
      <c r="M22" s="550"/>
      <c r="N22" s="550"/>
      <c r="O22" s="550"/>
      <c r="P22" s="550"/>
      <c r="R22" s="549"/>
      <c r="S22" s="549"/>
      <c r="T22" s="549"/>
      <c r="U22" s="549"/>
      <c r="V22" s="549"/>
      <c r="W22" s="549"/>
    </row>
    <row r="23" spans="1:23" ht="30" customHeight="1">
      <c r="A23" s="425">
        <v>1</v>
      </c>
      <c r="B23" s="424" t="s">
        <v>446</v>
      </c>
      <c r="C23" s="425" t="s">
        <v>445</v>
      </c>
      <c r="D23" s="424">
        <v>284</v>
      </c>
      <c r="E23" s="424">
        <v>248</v>
      </c>
      <c r="F23" s="424">
        <v>267</v>
      </c>
      <c r="G23" s="424">
        <v>297</v>
      </c>
      <c r="H23" s="424">
        <v>315</v>
      </c>
      <c r="I23" s="424">
        <v>335</v>
      </c>
      <c r="J23" s="425" t="s">
        <v>36</v>
      </c>
      <c r="L23" s="549"/>
      <c r="M23" s="550"/>
      <c r="N23" s="550"/>
      <c r="O23" s="550"/>
      <c r="P23" s="550"/>
      <c r="R23" s="549"/>
      <c r="S23" s="549"/>
      <c r="T23" s="549"/>
      <c r="U23" s="549"/>
      <c r="V23" s="549"/>
      <c r="W23" s="549"/>
    </row>
    <row r="24" spans="1:23" ht="37.5">
      <c r="A24" s="425"/>
      <c r="B24" s="427" t="s">
        <v>444</v>
      </c>
      <c r="C24" s="425"/>
      <c r="D24" s="424">
        <v>100</v>
      </c>
      <c r="E24" s="424">
        <v>74</v>
      </c>
      <c r="F24" s="424">
        <v>80</v>
      </c>
      <c r="G24" s="424">
        <v>90</v>
      </c>
      <c r="H24" s="424">
        <v>95</v>
      </c>
      <c r="I24" s="424">
        <v>100</v>
      </c>
      <c r="J24" s="425" t="s">
        <v>36</v>
      </c>
      <c r="L24" s="549"/>
      <c r="M24" s="550"/>
      <c r="N24" s="550"/>
      <c r="O24" s="550"/>
      <c r="P24" s="550"/>
      <c r="R24" s="549"/>
      <c r="S24" s="549"/>
      <c r="T24" s="549"/>
      <c r="U24" s="549"/>
      <c r="V24" s="549"/>
      <c r="W24" s="549"/>
    </row>
    <row r="25" spans="1:23" ht="30" customHeight="1">
      <c r="A25" s="425">
        <v>2</v>
      </c>
      <c r="B25" s="424" t="s">
        <v>443</v>
      </c>
      <c r="C25" s="425" t="s">
        <v>442</v>
      </c>
      <c r="D25" s="551">
        <v>1460</v>
      </c>
      <c r="E25" s="551">
        <v>1154</v>
      </c>
      <c r="F25" s="551">
        <v>2344</v>
      </c>
      <c r="G25" s="551">
        <v>2960</v>
      </c>
      <c r="H25" s="551">
        <v>3100</v>
      </c>
      <c r="I25" s="551">
        <v>3300</v>
      </c>
      <c r="J25" s="425" t="s">
        <v>36</v>
      </c>
      <c r="L25" s="549"/>
      <c r="M25" s="550"/>
      <c r="N25" s="550"/>
      <c r="O25" s="550"/>
      <c r="P25" s="550"/>
      <c r="R25" s="549"/>
      <c r="S25" s="549"/>
      <c r="T25" s="549"/>
      <c r="U25" s="549"/>
      <c r="V25" s="549"/>
      <c r="W25" s="549"/>
    </row>
    <row r="26" spans="1:23" ht="37.5">
      <c r="A26" s="424"/>
      <c r="B26" s="427" t="s">
        <v>441</v>
      </c>
      <c r="C26" s="425" t="s">
        <v>367</v>
      </c>
      <c r="D26" s="424">
        <v>344</v>
      </c>
      <c r="E26" s="551">
        <v>250</v>
      </c>
      <c r="F26" s="551">
        <v>344</v>
      </c>
      <c r="G26" s="551">
        <v>500</v>
      </c>
      <c r="H26" s="551">
        <v>960</v>
      </c>
      <c r="I26" s="551">
        <v>1260</v>
      </c>
      <c r="J26" s="425" t="s">
        <v>36</v>
      </c>
      <c r="L26" s="549"/>
      <c r="M26" s="550"/>
      <c r="N26" s="550"/>
      <c r="O26" s="550"/>
      <c r="P26" s="550"/>
      <c r="R26" s="549"/>
      <c r="S26" s="549"/>
      <c r="T26" s="549"/>
      <c r="U26" s="549"/>
      <c r="V26" s="549"/>
      <c r="W26" s="549"/>
    </row>
    <row r="27" spans="1:23" ht="30" customHeight="1">
      <c r="A27" s="425">
        <v>3</v>
      </c>
      <c r="B27" s="424" t="s">
        <v>440</v>
      </c>
      <c r="C27" s="425" t="s">
        <v>367</v>
      </c>
      <c r="D27" s="424">
        <v>1460</v>
      </c>
      <c r="E27" s="551">
        <v>1154</v>
      </c>
      <c r="F27" s="551">
        <v>2344</v>
      </c>
      <c r="G27" s="551">
        <v>2960</v>
      </c>
      <c r="H27" s="551">
        <v>3100</v>
      </c>
      <c r="I27" s="551">
        <v>3300</v>
      </c>
      <c r="J27" s="425" t="s">
        <v>36</v>
      </c>
      <c r="L27" s="549"/>
      <c r="M27" s="550"/>
      <c r="N27" s="550"/>
      <c r="O27" s="550"/>
      <c r="P27" s="550"/>
      <c r="R27" s="549"/>
      <c r="S27" s="549"/>
      <c r="T27" s="549"/>
      <c r="U27" s="549"/>
      <c r="V27" s="549"/>
      <c r="W27" s="549"/>
    </row>
    <row r="28" spans="1:23" ht="30" customHeight="1">
      <c r="A28" s="424"/>
      <c r="B28" s="427" t="s">
        <v>214</v>
      </c>
      <c r="C28" s="425"/>
      <c r="D28" s="424"/>
      <c r="E28" s="424"/>
      <c r="F28" s="551"/>
      <c r="G28" s="551"/>
      <c r="H28" s="551"/>
      <c r="I28" s="551"/>
      <c r="J28" s="424"/>
      <c r="L28" s="549"/>
      <c r="M28" s="550"/>
      <c r="N28" s="550"/>
      <c r="O28" s="550"/>
      <c r="P28" s="550"/>
      <c r="R28" s="549"/>
      <c r="S28" s="549"/>
      <c r="T28" s="549"/>
      <c r="U28" s="549"/>
      <c r="V28" s="549"/>
      <c r="W28" s="549"/>
    </row>
    <row r="29" spans="1:23" ht="31.5" customHeight="1">
      <c r="A29" s="426" t="s">
        <v>284</v>
      </c>
      <c r="B29" s="424" t="s">
        <v>439</v>
      </c>
      <c r="C29" s="425" t="s">
        <v>367</v>
      </c>
      <c r="D29" s="424">
        <v>1460</v>
      </c>
      <c r="E29" s="424">
        <v>2280</v>
      </c>
      <c r="F29" s="551">
        <v>2344</v>
      </c>
      <c r="G29" s="551">
        <v>2960</v>
      </c>
      <c r="H29" s="551">
        <v>3100</v>
      </c>
      <c r="I29" s="551">
        <v>3300</v>
      </c>
      <c r="J29" s="425" t="s">
        <v>36</v>
      </c>
      <c r="L29" s="549"/>
      <c r="M29" s="550"/>
      <c r="N29" s="550"/>
      <c r="O29" s="550"/>
      <c r="P29" s="550"/>
      <c r="R29" s="549"/>
      <c r="S29" s="549"/>
      <c r="T29" s="549"/>
      <c r="U29" s="549"/>
      <c r="V29" s="549"/>
      <c r="W29" s="549"/>
    </row>
    <row r="30" spans="1:23" ht="37.5">
      <c r="A30" s="426" t="s">
        <v>284</v>
      </c>
      <c r="B30" s="424" t="s">
        <v>438</v>
      </c>
      <c r="C30" s="425" t="s">
        <v>367</v>
      </c>
      <c r="D30" s="424">
        <v>344</v>
      </c>
      <c r="E30" s="424">
        <v>250</v>
      </c>
      <c r="F30" s="551">
        <v>344</v>
      </c>
      <c r="G30" s="551">
        <v>500</v>
      </c>
      <c r="H30" s="551">
        <v>960</v>
      </c>
      <c r="I30" s="551">
        <v>1260</v>
      </c>
      <c r="J30" s="425" t="s">
        <v>36</v>
      </c>
      <c r="L30" s="549"/>
      <c r="M30" s="550"/>
      <c r="N30" s="550"/>
      <c r="O30" s="550"/>
      <c r="P30" s="550"/>
      <c r="R30" s="549"/>
      <c r="S30" s="549"/>
      <c r="T30" s="549"/>
      <c r="U30" s="549"/>
      <c r="V30" s="549"/>
      <c r="W30" s="549"/>
    </row>
    <row r="31" spans="14:23" ht="18.75">
      <c r="N31" s="550"/>
      <c r="O31" s="550"/>
      <c r="P31" s="550"/>
      <c r="R31" s="549"/>
      <c r="S31" s="549"/>
      <c r="T31" s="549"/>
      <c r="U31" s="549"/>
      <c r="V31" s="549"/>
      <c r="W31" s="549"/>
    </row>
    <row r="32" spans="14:23" ht="18.75">
      <c r="N32" s="550"/>
      <c r="O32" s="550"/>
      <c r="P32" s="550"/>
      <c r="R32" s="549"/>
      <c r="S32" s="549"/>
      <c r="T32" s="549"/>
      <c r="U32" s="549"/>
      <c r="V32" s="549"/>
      <c r="W32" s="549"/>
    </row>
    <row r="33" spans="14:23" ht="18.75">
      <c r="N33" s="550"/>
      <c r="O33" s="550"/>
      <c r="P33" s="550"/>
      <c r="R33" s="549"/>
      <c r="S33" s="549"/>
      <c r="T33" s="549"/>
      <c r="U33" s="549"/>
      <c r="V33" s="549"/>
      <c r="W33" s="549"/>
    </row>
    <row r="34" spans="19:22" ht="18.75">
      <c r="S34" s="549"/>
      <c r="T34" s="549"/>
      <c r="U34" s="549"/>
      <c r="V34" s="549"/>
    </row>
  </sheetData>
  <sheetProtection/>
  <mergeCells count="13">
    <mergeCell ref="F5:F6"/>
    <mergeCell ref="G5:G6"/>
    <mergeCell ref="H5:H6"/>
    <mergeCell ref="I2:J2"/>
    <mergeCell ref="I5:I6"/>
    <mergeCell ref="J5:J6"/>
    <mergeCell ref="A1:J1"/>
    <mergeCell ref="A3:J3"/>
    <mergeCell ref="A5:A6"/>
    <mergeCell ref="B5:B6"/>
    <mergeCell ref="C5:C6"/>
    <mergeCell ref="D5:D6"/>
    <mergeCell ref="E5:E6"/>
  </mergeCells>
  <printOptions/>
  <pageMargins left="0.76" right="0.53" top="0.63" bottom="0.44" header="0.37" footer="0.2"/>
  <pageSetup horizontalDpi="600" verticalDpi="600" orientation="landscape" paperSize="9" scale="95" r:id="rId1"/>
  <headerFooter alignWithMargins="0">
    <oddFooter>&amp;R&amp;P/&amp;N</oddFooter>
  </headerFooter>
  <colBreaks count="1" manualBreakCount="1">
    <brk id="10" max="29" man="1"/>
  </colBreaks>
</worksheet>
</file>

<file path=xl/worksheets/sheet2.xml><?xml version="1.0" encoding="utf-8"?>
<worksheet xmlns="http://schemas.openxmlformats.org/spreadsheetml/2006/main" xmlns:r="http://schemas.openxmlformats.org/officeDocument/2006/relationships">
  <sheetPr>
    <tabColor rgb="FF00B050"/>
    <pageSetUpPr fitToPage="1"/>
  </sheetPr>
  <dimension ref="A1:V54"/>
  <sheetViews>
    <sheetView zoomScalePageLayoutView="0" workbookViewId="0" topLeftCell="A1">
      <selection activeCell="C40" sqref="C40"/>
    </sheetView>
  </sheetViews>
  <sheetFormatPr defaultColWidth="9.140625" defaultRowHeight="15" customHeight="1"/>
  <cols>
    <col min="1" max="1" width="6.8515625" style="207" customWidth="1"/>
    <col min="2" max="2" width="5.421875" style="207" customWidth="1"/>
    <col min="3" max="3" width="41.421875" style="206" customWidth="1"/>
    <col min="4" max="9" width="8.8515625" style="206" hidden="1" customWidth="1"/>
    <col min="10" max="15" width="14.421875" style="206" customWidth="1"/>
    <col min="16" max="18" width="9.140625" style="206" customWidth="1"/>
    <col min="19" max="19" width="11.57421875" style="206" bestFit="1" customWidth="1"/>
    <col min="20" max="16384" width="9.140625" style="206" customWidth="1"/>
  </cols>
  <sheetData>
    <row r="1" spans="1:15" ht="23.25" customHeight="1">
      <c r="A1" s="1286" t="s">
        <v>279</v>
      </c>
      <c r="B1" s="1286"/>
      <c r="C1" s="1286"/>
      <c r="D1" s="1286"/>
      <c r="E1" s="1286"/>
      <c r="F1" s="1286"/>
      <c r="G1" s="1286"/>
      <c r="H1" s="1286"/>
      <c r="I1" s="1286"/>
      <c r="J1" s="1286"/>
      <c r="K1" s="1286"/>
      <c r="L1" s="1286"/>
      <c r="M1" s="1286"/>
      <c r="N1" s="1286"/>
      <c r="O1" s="1286"/>
    </row>
    <row r="2" spans="1:15" ht="49.5" customHeight="1">
      <c r="A2" s="1287" t="s">
        <v>283</v>
      </c>
      <c r="B2" s="1287"/>
      <c r="C2" s="1287"/>
      <c r="D2" s="1287"/>
      <c r="E2" s="1287"/>
      <c r="F2" s="1287"/>
      <c r="G2" s="1287"/>
      <c r="H2" s="1287"/>
      <c r="I2" s="1287"/>
      <c r="J2" s="1287"/>
      <c r="K2" s="1287"/>
      <c r="L2" s="1287"/>
      <c r="M2" s="1287"/>
      <c r="N2" s="1287"/>
      <c r="O2" s="1287"/>
    </row>
    <row r="3" spans="1:15" ht="15" customHeight="1">
      <c r="A3" s="1288"/>
      <c r="B3" s="1288"/>
      <c r="C3" s="1288"/>
      <c r="D3" s="1288"/>
      <c r="E3" s="1288"/>
      <c r="F3" s="1288"/>
      <c r="G3" s="1288"/>
      <c r="H3" s="1288"/>
      <c r="I3" s="1288"/>
      <c r="J3" s="1288"/>
      <c r="K3" s="1288"/>
      <c r="L3" s="1288"/>
      <c r="M3" s="1288"/>
      <c r="N3" s="1288"/>
      <c r="O3" s="1288"/>
    </row>
    <row r="4" spans="3:15" ht="21" customHeight="1">
      <c r="C4" s="208"/>
      <c r="D4" s="208"/>
      <c r="E4" s="208"/>
      <c r="F4" s="208"/>
      <c r="G4" s="208"/>
      <c r="H4" s="208"/>
      <c r="I4" s="208"/>
      <c r="J4" s="208"/>
      <c r="K4" s="208"/>
      <c r="L4" s="209"/>
      <c r="M4" s="1289" t="s">
        <v>285</v>
      </c>
      <c r="N4" s="1289"/>
      <c r="O4" s="1289"/>
    </row>
    <row r="5" spans="1:15" s="212" customFormat="1" ht="38.25" customHeight="1">
      <c r="A5" s="210" t="s">
        <v>0</v>
      </c>
      <c r="B5" s="1273" t="s">
        <v>278</v>
      </c>
      <c r="C5" s="1274"/>
      <c r="D5" s="210">
        <v>2000</v>
      </c>
      <c r="E5" s="210">
        <v>2001</v>
      </c>
      <c r="F5" s="210">
        <v>2002</v>
      </c>
      <c r="G5" s="210">
        <v>2003</v>
      </c>
      <c r="H5" s="210">
        <v>2004</v>
      </c>
      <c r="I5" s="210">
        <v>2005</v>
      </c>
      <c r="J5" s="210" t="s">
        <v>277</v>
      </c>
      <c r="K5" s="210">
        <v>2011</v>
      </c>
      <c r="L5" s="211">
        <v>2012</v>
      </c>
      <c r="M5" s="210">
        <v>2013</v>
      </c>
      <c r="N5" s="211">
        <v>2014</v>
      </c>
      <c r="O5" s="210">
        <v>2015</v>
      </c>
    </row>
    <row r="6" spans="1:15" s="212" customFormat="1" ht="27" customHeight="1">
      <c r="A6" s="213"/>
      <c r="B6" s="1275" t="s">
        <v>215</v>
      </c>
      <c r="C6" s="1276"/>
      <c r="D6" s="214"/>
      <c r="E6" s="214"/>
      <c r="F6" s="214"/>
      <c r="G6" s="214"/>
      <c r="H6" s="214"/>
      <c r="I6" s="214"/>
      <c r="J6" s="343" t="e">
        <f>+K6+L6+M6+N6+O6</f>
        <v>#REF!</v>
      </c>
      <c r="K6" s="215" t="e">
        <f>+K8+K10+K23</f>
        <v>#REF!</v>
      </c>
      <c r="L6" s="215" t="e">
        <f>+L8+L10+L23</f>
        <v>#REF!</v>
      </c>
      <c r="M6" s="215" t="e">
        <f>+M8+M10+M23</f>
        <v>#REF!</v>
      </c>
      <c r="N6" s="215" t="e">
        <f>+N8+N10+N23</f>
        <v>#REF!</v>
      </c>
      <c r="O6" s="215" t="e">
        <f>+O8+O10+O23</f>
        <v>#REF!</v>
      </c>
    </row>
    <row r="7" spans="1:22" ht="30" customHeight="1" hidden="1">
      <c r="A7" s="216"/>
      <c r="B7" s="1282"/>
      <c r="C7" s="1283"/>
      <c r="D7" s="344"/>
      <c r="E7" s="345"/>
      <c r="F7" s="345"/>
      <c r="G7" s="345"/>
      <c r="H7" s="345"/>
      <c r="I7" s="345"/>
      <c r="J7" s="346" t="e">
        <f aca="true" t="shared" si="0" ref="J7:O7">+J9+J14+J16+J18+J20+J22+J27+J29+J31+J33+J35+J37+J39+J41+J43+J45+J47+J49+J51</f>
        <v>#REF!</v>
      </c>
      <c r="K7" s="346" t="e">
        <f t="shared" si="0"/>
        <v>#REF!</v>
      </c>
      <c r="L7" s="346" t="e">
        <f t="shared" si="0"/>
        <v>#REF!</v>
      </c>
      <c r="M7" s="347" t="e">
        <f t="shared" si="0"/>
        <v>#REF!</v>
      </c>
      <c r="N7" s="346" t="e">
        <f t="shared" si="0"/>
        <v>#REF!</v>
      </c>
      <c r="O7" s="346" t="e">
        <f t="shared" si="0"/>
        <v>#REF!</v>
      </c>
      <c r="P7" s="217"/>
      <c r="Q7" s="218"/>
      <c r="S7" s="219"/>
      <c r="T7" s="218"/>
      <c r="V7" s="219"/>
    </row>
    <row r="8" spans="1:22" ht="18" customHeight="1">
      <c r="A8" s="216">
        <v>1</v>
      </c>
      <c r="B8" s="1284" t="s">
        <v>216</v>
      </c>
      <c r="C8" s="1285"/>
      <c r="D8" s="348" t="e">
        <f>+#REF!+#REF!</f>
        <v>#REF!</v>
      </c>
      <c r="E8" s="349" t="e">
        <f>+#REF!+#REF!</f>
        <v>#REF!</v>
      </c>
      <c r="F8" s="349" t="e">
        <f>+#REF!+#REF!</f>
        <v>#REF!</v>
      </c>
      <c r="G8" s="349" t="e">
        <f>+#REF!+#REF!</f>
        <v>#REF!</v>
      </c>
      <c r="H8" s="349" t="e">
        <f>+#REF!+#REF!</f>
        <v>#REF!</v>
      </c>
      <c r="I8" s="349" t="e">
        <f>+#REF!+#REF!</f>
        <v>#REF!</v>
      </c>
      <c r="J8" s="350" t="e">
        <f>+K8+L8+M8+N8+O8</f>
        <v>#REF!</v>
      </c>
      <c r="K8" s="350" t="e">
        <f>+K$54*K9/100</f>
        <v>#REF!</v>
      </c>
      <c r="L8" s="350" t="e">
        <f>+L$54*L9/100</f>
        <v>#REF!</v>
      </c>
      <c r="M8" s="351" t="e">
        <f>+M$54*M9/100</f>
        <v>#REF!</v>
      </c>
      <c r="N8" s="350" t="e">
        <f>+N$54*N9/100</f>
        <v>#REF!</v>
      </c>
      <c r="O8" s="350" t="e">
        <f>+O$54*O9/100</f>
        <v>#REF!</v>
      </c>
      <c r="P8" s="219"/>
      <c r="Q8" s="218"/>
      <c r="S8" s="219"/>
      <c r="T8" s="218"/>
      <c r="V8" s="219"/>
    </row>
    <row r="9" spans="1:22" s="223" customFormat="1" ht="18" customHeight="1">
      <c r="A9" s="220"/>
      <c r="B9" s="1279" t="s">
        <v>217</v>
      </c>
      <c r="C9" s="1272"/>
      <c r="D9" s="352"/>
      <c r="E9" s="353"/>
      <c r="F9" s="353"/>
      <c r="G9" s="353"/>
      <c r="H9" s="353"/>
      <c r="I9" s="353"/>
      <c r="J9" s="354">
        <v>6.2</v>
      </c>
      <c r="K9" s="354">
        <v>6.2</v>
      </c>
      <c r="L9" s="354">
        <v>6.2</v>
      </c>
      <c r="M9" s="355">
        <v>6.2</v>
      </c>
      <c r="N9" s="354">
        <v>6.2</v>
      </c>
      <c r="O9" s="354">
        <v>6.2</v>
      </c>
      <c r="P9" s="221"/>
      <c r="Q9" s="222"/>
      <c r="S9" s="221"/>
      <c r="T9" s="222"/>
      <c r="V9" s="221"/>
    </row>
    <row r="10" spans="1:22" ht="18" customHeight="1">
      <c r="A10" s="216">
        <v>2</v>
      </c>
      <c r="B10" s="1284" t="s">
        <v>218</v>
      </c>
      <c r="C10" s="1285"/>
      <c r="D10" s="348"/>
      <c r="E10" s="349"/>
      <c r="F10" s="349"/>
      <c r="G10" s="349"/>
      <c r="H10" s="349"/>
      <c r="I10" s="349"/>
      <c r="J10" s="350" t="e">
        <f>+J13+J15+J17+J19+J21</f>
        <v>#REF!</v>
      </c>
      <c r="K10" s="350" t="e">
        <f aca="true" t="shared" si="1" ref="K10:O11">+K13+K15+K17+K19+K21</f>
        <v>#REF!</v>
      </c>
      <c r="L10" s="350" t="e">
        <f t="shared" si="1"/>
        <v>#REF!</v>
      </c>
      <c r="M10" s="351" t="e">
        <f t="shared" si="1"/>
        <v>#REF!</v>
      </c>
      <c r="N10" s="350" t="e">
        <f t="shared" si="1"/>
        <v>#REF!</v>
      </c>
      <c r="O10" s="350" t="e">
        <f t="shared" si="1"/>
        <v>#REF!</v>
      </c>
      <c r="P10" s="219"/>
      <c r="Q10" s="218"/>
      <c r="S10" s="219"/>
      <c r="T10" s="218"/>
      <c r="V10" s="219"/>
    </row>
    <row r="11" spans="1:15" s="223" customFormat="1" ht="18" customHeight="1">
      <c r="A11" s="220"/>
      <c r="B11" s="1271" t="s">
        <v>217</v>
      </c>
      <c r="C11" s="1272"/>
      <c r="D11" s="353"/>
      <c r="E11" s="353"/>
      <c r="F11" s="353"/>
      <c r="G11" s="353"/>
      <c r="H11" s="353"/>
      <c r="I11" s="353"/>
      <c r="J11" s="354" t="e">
        <f>+J14+J16+J18+J20+J22</f>
        <v>#REF!</v>
      </c>
      <c r="K11" s="354">
        <f t="shared" si="1"/>
        <v>41.8</v>
      </c>
      <c r="L11" s="354">
        <f t="shared" si="1"/>
        <v>42.5</v>
      </c>
      <c r="M11" s="354">
        <f t="shared" si="1"/>
        <v>43.3</v>
      </c>
      <c r="N11" s="354">
        <f t="shared" si="1"/>
        <v>44.00000000000001</v>
      </c>
      <c r="O11" s="354">
        <f t="shared" si="1"/>
        <v>44.800000000000004</v>
      </c>
    </row>
    <row r="12" spans="1:15" s="223" customFormat="1" ht="18" customHeight="1">
      <c r="A12" s="220"/>
      <c r="B12" s="1271" t="s">
        <v>214</v>
      </c>
      <c r="C12" s="1272"/>
      <c r="D12" s="353"/>
      <c r="E12" s="353"/>
      <c r="F12" s="353"/>
      <c r="G12" s="353"/>
      <c r="H12" s="353"/>
      <c r="I12" s="353"/>
      <c r="J12" s="354"/>
      <c r="K12" s="354"/>
      <c r="L12" s="354"/>
      <c r="M12" s="354"/>
      <c r="N12" s="354"/>
      <c r="O12" s="354"/>
    </row>
    <row r="13" spans="1:15" ht="27" customHeight="1">
      <c r="A13" s="224"/>
      <c r="B13" s="225"/>
      <c r="C13" s="226" t="s">
        <v>220</v>
      </c>
      <c r="D13" s="227">
        <v>9588</v>
      </c>
      <c r="E13" s="227">
        <v>8141.1</v>
      </c>
      <c r="F13" s="227">
        <v>7964</v>
      </c>
      <c r="G13" s="227">
        <v>11342</v>
      </c>
      <c r="H13" s="227">
        <v>22477</v>
      </c>
      <c r="I13" s="227">
        <v>26862</v>
      </c>
      <c r="J13" s="237" t="e">
        <f>+K13+L13+M13+N13+O13</f>
        <v>#REF!</v>
      </c>
      <c r="K13" s="237" t="e">
        <f>+K$54*K14/100</f>
        <v>#REF!</v>
      </c>
      <c r="L13" s="237" t="e">
        <f>+L$54*L14/100</f>
        <v>#REF!</v>
      </c>
      <c r="M13" s="237" t="e">
        <f>+M$54*M14/100</f>
        <v>#REF!</v>
      </c>
      <c r="N13" s="237" t="e">
        <f>+N$54*N14/100</f>
        <v>#REF!</v>
      </c>
      <c r="O13" s="237" t="e">
        <f>+O$54*O14/100</f>
        <v>#REF!</v>
      </c>
    </row>
    <row r="14" spans="1:15" s="223" customFormat="1" ht="26.25" customHeight="1">
      <c r="A14" s="228"/>
      <c r="B14" s="229"/>
      <c r="C14" s="230" t="s">
        <v>217</v>
      </c>
      <c r="D14" s="356"/>
      <c r="E14" s="356"/>
      <c r="F14" s="356"/>
      <c r="G14" s="356"/>
      <c r="H14" s="356"/>
      <c r="I14" s="356"/>
      <c r="J14" s="357" t="e">
        <f>100*J13/J$54</f>
        <v>#REF!</v>
      </c>
      <c r="K14" s="357">
        <v>8.2</v>
      </c>
      <c r="L14" s="357">
        <v>7.8</v>
      </c>
      <c r="M14" s="357">
        <v>7.4</v>
      </c>
      <c r="N14" s="357">
        <v>7</v>
      </c>
      <c r="O14" s="357">
        <v>6.6</v>
      </c>
    </row>
    <row r="15" spans="1:19" ht="25.5" customHeight="1">
      <c r="A15" s="224"/>
      <c r="B15" s="225"/>
      <c r="C15" s="226" t="s">
        <v>221</v>
      </c>
      <c r="D15" s="227">
        <v>29172</v>
      </c>
      <c r="E15" s="227">
        <v>38140.5</v>
      </c>
      <c r="F15" s="227">
        <v>45337</v>
      </c>
      <c r="G15" s="227">
        <v>51060</v>
      </c>
      <c r="H15" s="227">
        <v>58715</v>
      </c>
      <c r="I15" s="227">
        <v>68297</v>
      </c>
      <c r="J15" s="237" t="e">
        <f>+K15+L15+M15+N15+O15</f>
        <v>#REF!</v>
      </c>
      <c r="K15" s="237" t="e">
        <f>+K$54*K16/100</f>
        <v>#REF!</v>
      </c>
      <c r="L15" s="237" t="e">
        <f>+L$54*L16/100</f>
        <v>#REF!</v>
      </c>
      <c r="M15" s="237" t="e">
        <f>+M$54*M16/100</f>
        <v>#REF!</v>
      </c>
      <c r="N15" s="237" t="e">
        <f>+N$54*N16/100</f>
        <v>#REF!</v>
      </c>
      <c r="O15" s="237" t="e">
        <f>+O$54*O16/100</f>
        <v>#REF!</v>
      </c>
      <c r="R15" s="206">
        <v>43550</v>
      </c>
      <c r="S15" s="231" t="e">
        <f>+L17+L19</f>
        <v>#REF!</v>
      </c>
    </row>
    <row r="16" spans="1:15" s="223" customFormat="1" ht="24" customHeight="1">
      <c r="A16" s="228"/>
      <c r="B16" s="229"/>
      <c r="C16" s="230" t="s">
        <v>217</v>
      </c>
      <c r="D16" s="356"/>
      <c r="E16" s="356"/>
      <c r="F16" s="356"/>
      <c r="G16" s="356"/>
      <c r="H16" s="356"/>
      <c r="I16" s="356"/>
      <c r="J16" s="357" t="e">
        <f>100*J15/J$54</f>
        <v>#REF!</v>
      </c>
      <c r="K16" s="357">
        <v>17.5</v>
      </c>
      <c r="L16" s="357">
        <v>18</v>
      </c>
      <c r="M16" s="357">
        <v>18.5</v>
      </c>
      <c r="N16" s="357">
        <v>19</v>
      </c>
      <c r="O16" s="357">
        <v>19.5</v>
      </c>
    </row>
    <row r="17" spans="1:19" ht="39" customHeight="1">
      <c r="A17" s="224"/>
      <c r="B17" s="225"/>
      <c r="C17" s="226" t="s">
        <v>222</v>
      </c>
      <c r="D17" s="227">
        <v>16983</v>
      </c>
      <c r="E17" s="227">
        <v>16921.6</v>
      </c>
      <c r="F17" s="227">
        <v>20943</v>
      </c>
      <c r="G17" s="227">
        <v>24884</v>
      </c>
      <c r="H17" s="227">
        <v>31983</v>
      </c>
      <c r="I17" s="227">
        <v>37743</v>
      </c>
      <c r="J17" s="237" t="e">
        <f>+K17+L17+M17+N17+O17</f>
        <v>#REF!</v>
      </c>
      <c r="K17" s="237" t="e">
        <f>+K$54*K18/100</f>
        <v>#REF!</v>
      </c>
      <c r="L17" s="237" t="e">
        <f>+L$54*L18/100</f>
        <v>#REF!</v>
      </c>
      <c r="M17" s="237" t="e">
        <f>+M$54*M18/100</f>
        <v>#REF!</v>
      </c>
      <c r="N17" s="237" t="e">
        <f>+N$54*N18/100</f>
        <v>#REF!</v>
      </c>
      <c r="O17" s="237" t="e">
        <f>+O$54*O18/100</f>
        <v>#REF!</v>
      </c>
      <c r="S17" s="206" t="e">
        <f>+L17/S15</f>
        <v>#REF!</v>
      </c>
    </row>
    <row r="18" spans="1:15" s="223" customFormat="1" ht="22.5" customHeight="1">
      <c r="A18" s="228"/>
      <c r="B18" s="229"/>
      <c r="C18" s="230" t="s">
        <v>217</v>
      </c>
      <c r="D18" s="356"/>
      <c r="E18" s="356"/>
      <c r="F18" s="356"/>
      <c r="G18" s="356"/>
      <c r="H18" s="356"/>
      <c r="I18" s="356"/>
      <c r="J18" s="357" t="e">
        <f>100*J17/J$54</f>
        <v>#REF!</v>
      </c>
      <c r="K18" s="357">
        <v>9.5</v>
      </c>
      <c r="L18" s="357">
        <v>9.7</v>
      </c>
      <c r="M18" s="357">
        <v>10</v>
      </c>
      <c r="N18" s="357">
        <v>10.2</v>
      </c>
      <c r="O18" s="357">
        <v>10.5</v>
      </c>
    </row>
    <row r="19" spans="1:19" ht="36.75" customHeight="1">
      <c r="A19" s="224"/>
      <c r="B19" s="225"/>
      <c r="C19" s="226" t="s">
        <v>223</v>
      </c>
      <c r="D19" s="227"/>
      <c r="E19" s="227"/>
      <c r="F19" s="227"/>
      <c r="G19" s="227"/>
      <c r="H19" s="227"/>
      <c r="I19" s="227"/>
      <c r="J19" s="237" t="e">
        <f>+K19+L19+M19+N19+O19</f>
        <v>#REF!</v>
      </c>
      <c r="K19" s="237" t="e">
        <f>+K$54*K20/100</f>
        <v>#REF!</v>
      </c>
      <c r="L19" s="237" t="e">
        <f>+L$54*L20/100</f>
        <v>#REF!</v>
      </c>
      <c r="M19" s="237" t="e">
        <f>+M$54*M20/100</f>
        <v>#REF!</v>
      </c>
      <c r="N19" s="237" t="e">
        <f>+N$54*N20/100</f>
        <v>#REF!</v>
      </c>
      <c r="O19" s="237" t="e">
        <f>+O$54*O20/100</f>
        <v>#REF!</v>
      </c>
      <c r="S19" s="206" t="e">
        <f>+L19/S15</f>
        <v>#REF!</v>
      </c>
    </row>
    <row r="20" spans="1:15" s="223" customFormat="1" ht="18" customHeight="1">
      <c r="A20" s="228"/>
      <c r="B20" s="229"/>
      <c r="C20" s="230" t="s">
        <v>217</v>
      </c>
      <c r="D20" s="356"/>
      <c r="E20" s="356"/>
      <c r="F20" s="356"/>
      <c r="G20" s="356"/>
      <c r="H20" s="356"/>
      <c r="I20" s="356"/>
      <c r="J20" s="357" t="e">
        <f>100*J19/J$54</f>
        <v>#REF!</v>
      </c>
      <c r="K20" s="357">
        <v>2.8</v>
      </c>
      <c r="L20" s="357">
        <v>2.9</v>
      </c>
      <c r="M20" s="357">
        <v>3</v>
      </c>
      <c r="N20" s="357">
        <v>3.1</v>
      </c>
      <c r="O20" s="357">
        <v>3.2</v>
      </c>
    </row>
    <row r="21" spans="1:15" ht="24.75" customHeight="1">
      <c r="A21" s="224"/>
      <c r="B21" s="225"/>
      <c r="C21" s="226" t="s">
        <v>224</v>
      </c>
      <c r="D21" s="227">
        <v>3563</v>
      </c>
      <c r="E21" s="227">
        <v>9045.8</v>
      </c>
      <c r="F21" s="227">
        <v>10490</v>
      </c>
      <c r="G21" s="227">
        <v>11508</v>
      </c>
      <c r="H21" s="227">
        <v>11197</v>
      </c>
      <c r="I21" s="227">
        <v>13202</v>
      </c>
      <c r="J21" s="237" t="e">
        <f>+K21+L21+M21+N21+O21</f>
        <v>#REF!</v>
      </c>
      <c r="K21" s="237" t="e">
        <f>+K$54*K22/100</f>
        <v>#REF!</v>
      </c>
      <c r="L21" s="237" t="e">
        <f>+L$54*L22/100</f>
        <v>#REF!</v>
      </c>
      <c r="M21" s="237" t="e">
        <f>+M$54*M22/100</f>
        <v>#REF!</v>
      </c>
      <c r="N21" s="237" t="e">
        <f>+N$54*N22/100</f>
        <v>#REF!</v>
      </c>
      <c r="O21" s="237" t="e">
        <f>+O$54*O22/100</f>
        <v>#REF!</v>
      </c>
    </row>
    <row r="22" spans="1:22" s="223" customFormat="1" ht="21" customHeight="1">
      <c r="A22" s="220"/>
      <c r="B22" s="232"/>
      <c r="C22" s="230" t="s">
        <v>217</v>
      </c>
      <c r="D22" s="352"/>
      <c r="E22" s="353"/>
      <c r="F22" s="353"/>
      <c r="G22" s="353"/>
      <c r="H22" s="353"/>
      <c r="I22" s="353"/>
      <c r="J22" s="358" t="e">
        <f>100*J21/J$54</f>
        <v>#REF!</v>
      </c>
      <c r="K22" s="354">
        <v>3.8</v>
      </c>
      <c r="L22" s="354">
        <v>4.1</v>
      </c>
      <c r="M22" s="355">
        <v>4.4</v>
      </c>
      <c r="N22" s="354">
        <v>4.7</v>
      </c>
      <c r="O22" s="354">
        <v>5</v>
      </c>
      <c r="P22" s="221"/>
      <c r="Q22" s="222"/>
      <c r="S22" s="221"/>
      <c r="T22" s="222"/>
      <c r="V22" s="221"/>
    </row>
    <row r="23" spans="1:20" s="223" customFormat="1" ht="23.25" customHeight="1">
      <c r="A23" s="224">
        <v>3</v>
      </c>
      <c r="B23" s="1277" t="s">
        <v>149</v>
      </c>
      <c r="C23" s="1278"/>
      <c r="D23" s="352"/>
      <c r="E23" s="353"/>
      <c r="F23" s="353"/>
      <c r="G23" s="353"/>
      <c r="H23" s="353"/>
      <c r="I23" s="353"/>
      <c r="J23" s="359" t="e">
        <f aca="true" t="shared" si="2" ref="J23:O24">+J26+J28+J30+J32+J34+J36+J38+J40+J44+J46+J50</f>
        <v>#REF!</v>
      </c>
      <c r="K23" s="350" t="e">
        <f t="shared" si="2"/>
        <v>#REF!</v>
      </c>
      <c r="L23" s="350" t="e">
        <f t="shared" si="2"/>
        <v>#REF!</v>
      </c>
      <c r="M23" s="351" t="e">
        <f t="shared" si="2"/>
        <v>#REF!</v>
      </c>
      <c r="N23" s="350" t="e">
        <f t="shared" si="2"/>
        <v>#REF!</v>
      </c>
      <c r="O23" s="350" t="e">
        <f t="shared" si="2"/>
        <v>#REF!</v>
      </c>
      <c r="P23" s="221"/>
      <c r="Q23" s="222"/>
      <c r="S23" s="221"/>
      <c r="T23" s="222"/>
    </row>
    <row r="24" spans="1:22" s="223" customFormat="1" ht="18" customHeight="1">
      <c r="A24" s="228"/>
      <c r="B24" s="1279" t="s">
        <v>217</v>
      </c>
      <c r="C24" s="1272"/>
      <c r="D24" s="352"/>
      <c r="E24" s="353"/>
      <c r="F24" s="353"/>
      <c r="G24" s="353"/>
      <c r="H24" s="353"/>
      <c r="I24" s="353"/>
      <c r="J24" s="358" t="e">
        <f t="shared" si="2"/>
        <v>#REF!</v>
      </c>
      <c r="K24" s="354" t="e">
        <f t="shared" si="2"/>
        <v>#REF!</v>
      </c>
      <c r="L24" s="354" t="e">
        <f t="shared" si="2"/>
        <v>#REF!</v>
      </c>
      <c r="M24" s="355" t="e">
        <f t="shared" si="2"/>
        <v>#REF!</v>
      </c>
      <c r="N24" s="354" t="e">
        <f t="shared" si="2"/>
        <v>#REF!</v>
      </c>
      <c r="O24" s="354" t="e">
        <f t="shared" si="2"/>
        <v>#REF!</v>
      </c>
      <c r="P24" s="221"/>
      <c r="Q24" s="222"/>
      <c r="S24" s="221"/>
      <c r="T24" s="222"/>
      <c r="V24" s="221"/>
    </row>
    <row r="25" spans="1:20" s="223" customFormat="1" ht="18" customHeight="1">
      <c r="A25" s="228"/>
      <c r="B25" s="1280" t="s">
        <v>219</v>
      </c>
      <c r="C25" s="1281"/>
      <c r="D25" s="353"/>
      <c r="E25" s="353"/>
      <c r="F25" s="353"/>
      <c r="G25" s="353"/>
      <c r="H25" s="353"/>
      <c r="I25" s="353"/>
      <c r="J25" s="354"/>
      <c r="K25" s="354"/>
      <c r="L25" s="354"/>
      <c r="M25" s="355"/>
      <c r="N25" s="354"/>
      <c r="O25" s="354"/>
      <c r="P25" s="221"/>
      <c r="Q25" s="222"/>
      <c r="S25" s="221"/>
      <c r="T25" s="222"/>
    </row>
    <row r="26" spans="1:22" ht="36" customHeight="1">
      <c r="A26" s="224"/>
      <c r="B26" s="233"/>
      <c r="C26" s="226" t="s">
        <v>225</v>
      </c>
      <c r="D26" s="234">
        <v>3035</v>
      </c>
      <c r="E26" s="227">
        <v>7953</v>
      </c>
      <c r="F26" s="227">
        <v>11962</v>
      </c>
      <c r="G26" s="227">
        <v>14763</v>
      </c>
      <c r="H26" s="227">
        <v>15659</v>
      </c>
      <c r="I26" s="227">
        <v>18359</v>
      </c>
      <c r="J26" s="237" t="e">
        <f>+K26+L26+M26+N26+O26</f>
        <v>#REF!</v>
      </c>
      <c r="K26" s="237" t="e">
        <f>+K$54*K27/100</f>
        <v>#REF!</v>
      </c>
      <c r="L26" s="237" t="e">
        <f>+L$54*L27/100</f>
        <v>#REF!</v>
      </c>
      <c r="M26" s="360" t="e">
        <f>+M$54*M27/100</f>
        <v>#REF!</v>
      </c>
      <c r="N26" s="237" t="e">
        <f>+N$54*N27/100</f>
        <v>#REF!</v>
      </c>
      <c r="O26" s="237" t="e">
        <f>+O$54*O27/100</f>
        <v>#REF!</v>
      </c>
      <c r="P26" s="219"/>
      <c r="Q26" s="218"/>
      <c r="R26" s="206">
        <v>58410</v>
      </c>
      <c r="S26" s="235" t="e">
        <f>+L28+L32</f>
        <v>#REF!</v>
      </c>
      <c r="T26" s="218"/>
      <c r="V26" s="219"/>
    </row>
    <row r="27" spans="1:15" s="223" customFormat="1" ht="18" customHeight="1">
      <c r="A27" s="228"/>
      <c r="B27" s="229"/>
      <c r="C27" s="230" t="s">
        <v>217</v>
      </c>
      <c r="D27" s="356"/>
      <c r="E27" s="356"/>
      <c r="F27" s="356"/>
      <c r="G27" s="356"/>
      <c r="H27" s="356"/>
      <c r="I27" s="356"/>
      <c r="J27" s="357" t="e">
        <f>100*J26/J$54</f>
        <v>#REF!</v>
      </c>
      <c r="K27" s="357">
        <v>4.2</v>
      </c>
      <c r="L27" s="357">
        <v>4.2</v>
      </c>
      <c r="M27" s="357">
        <v>4.2</v>
      </c>
      <c r="N27" s="357">
        <v>4.2</v>
      </c>
      <c r="O27" s="357">
        <v>4.2</v>
      </c>
    </row>
    <row r="28" spans="1:19" ht="18" customHeight="1">
      <c r="A28" s="224"/>
      <c r="B28" s="225"/>
      <c r="C28" s="226" t="s">
        <v>226</v>
      </c>
      <c r="D28" s="227">
        <v>19913</v>
      </c>
      <c r="E28" s="227">
        <v>26999.1</v>
      </c>
      <c r="F28" s="227">
        <v>32398</v>
      </c>
      <c r="G28" s="227">
        <v>38226</v>
      </c>
      <c r="H28" s="227">
        <v>39381</v>
      </c>
      <c r="I28" s="227">
        <v>48252</v>
      </c>
      <c r="J28" s="237" t="e">
        <f>+K28+L28+M28+N28+O28</f>
        <v>#REF!</v>
      </c>
      <c r="K28" s="237" t="e">
        <f>+K$54*K29/100</f>
        <v>#REF!</v>
      </c>
      <c r="L28" s="237" t="e">
        <f>+L$54*L29/100</f>
        <v>#REF!</v>
      </c>
      <c r="M28" s="237" t="e">
        <f>+M$54*M29/100</f>
        <v>#REF!</v>
      </c>
      <c r="N28" s="237" t="e">
        <f>+N$54*N29/100</f>
        <v>#REF!</v>
      </c>
      <c r="O28" s="237" t="e">
        <f>+O$54*O29/100</f>
        <v>#REF!</v>
      </c>
      <c r="S28" s="206" t="e">
        <f>+L28/S26</f>
        <v>#REF!</v>
      </c>
    </row>
    <row r="29" spans="1:15" s="223" customFormat="1" ht="18" customHeight="1">
      <c r="A29" s="228"/>
      <c r="B29" s="229"/>
      <c r="C29" s="230" t="s">
        <v>217</v>
      </c>
      <c r="D29" s="356"/>
      <c r="E29" s="356"/>
      <c r="F29" s="356"/>
      <c r="G29" s="356"/>
      <c r="H29" s="356"/>
      <c r="I29" s="356"/>
      <c r="J29" s="357" t="e">
        <f>100*J28/J$54</f>
        <v>#REF!</v>
      </c>
      <c r="K29" s="357">
        <v>12.3</v>
      </c>
      <c r="L29" s="357">
        <v>12.6</v>
      </c>
      <c r="M29" s="357">
        <v>12.9</v>
      </c>
      <c r="N29" s="357">
        <v>13.2</v>
      </c>
      <c r="O29" s="357">
        <v>13.5</v>
      </c>
    </row>
    <row r="30" spans="1:19" ht="18" customHeight="1">
      <c r="A30" s="224"/>
      <c r="B30" s="225"/>
      <c r="C30" s="226" t="s">
        <v>227</v>
      </c>
      <c r="D30" s="227">
        <v>4453</v>
      </c>
      <c r="E30" s="227">
        <v>2974.7</v>
      </c>
      <c r="F30" s="227">
        <v>3847</v>
      </c>
      <c r="G30" s="227">
        <v>4230</v>
      </c>
      <c r="H30" s="227">
        <v>5549</v>
      </c>
      <c r="I30" s="227">
        <v>6628</v>
      </c>
      <c r="J30" s="237" t="e">
        <f>+K30+L30+M30+N30+O30</f>
        <v>#REF!</v>
      </c>
      <c r="K30" s="237" t="e">
        <f>+K$54*K31/100</f>
        <v>#REF!</v>
      </c>
      <c r="L30" s="237" t="e">
        <f>+L$54*L31/100</f>
        <v>#REF!</v>
      </c>
      <c r="M30" s="237" t="e">
        <f>+M$54*M31/100</f>
        <v>#REF!</v>
      </c>
      <c r="N30" s="237" t="e">
        <f>+N$54*N31/100</f>
        <v>#REF!</v>
      </c>
      <c r="O30" s="237" t="e">
        <f>+O$54*O31/100</f>
        <v>#REF!</v>
      </c>
      <c r="S30" s="206" t="e">
        <f>+L32/S26</f>
        <v>#REF!</v>
      </c>
    </row>
    <row r="31" spans="1:15" s="223" customFormat="1" ht="18" customHeight="1">
      <c r="A31" s="228"/>
      <c r="B31" s="229"/>
      <c r="C31" s="230" t="s">
        <v>217</v>
      </c>
      <c r="D31" s="356"/>
      <c r="E31" s="356"/>
      <c r="F31" s="356"/>
      <c r="G31" s="356"/>
      <c r="H31" s="356"/>
      <c r="I31" s="356"/>
      <c r="J31" s="357" t="e">
        <f>100*J30/J$54</f>
        <v>#REF!</v>
      </c>
      <c r="K31" s="357">
        <v>2.1</v>
      </c>
      <c r="L31" s="357">
        <v>2.1</v>
      </c>
      <c r="M31" s="357">
        <v>2.1</v>
      </c>
      <c r="N31" s="357">
        <v>2.1</v>
      </c>
      <c r="O31" s="357">
        <v>2.1</v>
      </c>
    </row>
    <row r="32" spans="1:19" ht="18" customHeight="1">
      <c r="A32" s="224"/>
      <c r="B32" s="225"/>
      <c r="C32" s="226" t="s">
        <v>228</v>
      </c>
      <c r="D32" s="227"/>
      <c r="E32" s="227"/>
      <c r="F32" s="227"/>
      <c r="G32" s="227"/>
      <c r="H32" s="227"/>
      <c r="I32" s="227"/>
      <c r="J32" s="237" t="e">
        <f>+K32+L32+M32+N32+O32</f>
        <v>#REF!</v>
      </c>
      <c r="K32" s="237" t="e">
        <f>+K$54*K33/100</f>
        <v>#REF!</v>
      </c>
      <c r="L32" s="237" t="e">
        <f>+L$54*L33/100</f>
        <v>#REF!</v>
      </c>
      <c r="M32" s="237" t="e">
        <f>+M$54*M33/100</f>
        <v>#REF!</v>
      </c>
      <c r="N32" s="237" t="e">
        <f>+N$54*N33/100</f>
        <v>#REF!</v>
      </c>
      <c r="O32" s="237" t="e">
        <f>+O$54*O33/100</f>
        <v>#REF!</v>
      </c>
      <c r="S32" s="231"/>
    </row>
    <row r="33" spans="1:15" s="223" customFormat="1" ht="18" customHeight="1">
      <c r="A33" s="228"/>
      <c r="B33" s="229"/>
      <c r="C33" s="230" t="s">
        <v>217</v>
      </c>
      <c r="D33" s="356"/>
      <c r="E33" s="356"/>
      <c r="F33" s="356"/>
      <c r="G33" s="356"/>
      <c r="H33" s="356"/>
      <c r="I33" s="356"/>
      <c r="J33" s="357" t="e">
        <f>100*J32/J$54</f>
        <v>#REF!</v>
      </c>
      <c r="K33" s="357">
        <v>3.6</v>
      </c>
      <c r="L33" s="357">
        <v>3.6</v>
      </c>
      <c r="M33" s="357">
        <v>3.6</v>
      </c>
      <c r="N33" s="357">
        <v>3.6</v>
      </c>
      <c r="O33" s="357">
        <v>3.6</v>
      </c>
    </row>
    <row r="34" spans="1:15" ht="28.5" customHeight="1">
      <c r="A34" s="224"/>
      <c r="B34" s="225"/>
      <c r="C34" s="226" t="s">
        <v>229</v>
      </c>
      <c r="D34" s="227">
        <v>1303</v>
      </c>
      <c r="E34" s="227">
        <v>2017.6</v>
      </c>
      <c r="F34" s="227">
        <v>1120</v>
      </c>
      <c r="G34" s="227">
        <v>1983</v>
      </c>
      <c r="H34" s="227">
        <v>1800</v>
      </c>
      <c r="I34" s="227">
        <v>2174</v>
      </c>
      <c r="J34" s="237" t="e">
        <f>+K34+L34+M34+N34+O34</f>
        <v>#REF!</v>
      </c>
      <c r="K34" s="237" t="e">
        <f>+K$54*K35/100</f>
        <v>#REF!</v>
      </c>
      <c r="L34" s="237" t="e">
        <f>+L$54*L35/100</f>
        <v>#REF!</v>
      </c>
      <c r="M34" s="237" t="e">
        <f>+M$54*M35/100</f>
        <v>#REF!</v>
      </c>
      <c r="N34" s="237" t="e">
        <f>+N$54*N35/100</f>
        <v>#REF!</v>
      </c>
      <c r="O34" s="237" t="e">
        <f>+O$54*O35/100</f>
        <v>#REF!</v>
      </c>
    </row>
    <row r="35" spans="1:15" s="223" customFormat="1" ht="18" customHeight="1">
      <c r="A35" s="228"/>
      <c r="B35" s="229"/>
      <c r="C35" s="230" t="s">
        <v>217</v>
      </c>
      <c r="D35" s="356"/>
      <c r="E35" s="356"/>
      <c r="F35" s="356"/>
      <c r="G35" s="356"/>
      <c r="H35" s="356"/>
      <c r="I35" s="356"/>
      <c r="J35" s="357" t="e">
        <f>100*J34/J$54</f>
        <v>#REF!</v>
      </c>
      <c r="K35" s="357">
        <v>1.5</v>
      </c>
      <c r="L35" s="357">
        <v>1.5</v>
      </c>
      <c r="M35" s="357">
        <v>1.5</v>
      </c>
      <c r="N35" s="357">
        <v>1.5</v>
      </c>
      <c r="O35" s="357">
        <v>1.5</v>
      </c>
    </row>
    <row r="36" spans="1:15" ht="18" customHeight="1">
      <c r="A36" s="224"/>
      <c r="B36" s="225"/>
      <c r="C36" s="226" t="s">
        <v>230</v>
      </c>
      <c r="D36" s="227">
        <v>4031</v>
      </c>
      <c r="E36" s="227">
        <v>1734.6</v>
      </c>
      <c r="F36" s="227">
        <v>2612</v>
      </c>
      <c r="G36" s="227">
        <v>3605</v>
      </c>
      <c r="H36" s="227">
        <v>5025</v>
      </c>
      <c r="I36" s="227">
        <v>5705</v>
      </c>
      <c r="J36" s="237" t="e">
        <f>+K36+L36+M36+N36+O36</f>
        <v>#REF!</v>
      </c>
      <c r="K36" s="237" t="e">
        <f>+K$54*K37/100</f>
        <v>#REF!</v>
      </c>
      <c r="L36" s="237" t="e">
        <f>+L$54*L37/100</f>
        <v>#REF!</v>
      </c>
      <c r="M36" s="237" t="e">
        <f>+M$54*M37/100</f>
        <v>#REF!</v>
      </c>
      <c r="N36" s="237" t="e">
        <f>+N$54*N37/100</f>
        <v>#REF!</v>
      </c>
      <c r="O36" s="237" t="e">
        <f>+O$54*O37/100</f>
        <v>#REF!</v>
      </c>
    </row>
    <row r="37" spans="1:15" s="223" customFormat="1" ht="18" customHeight="1">
      <c r="A37" s="228"/>
      <c r="B37" s="229"/>
      <c r="C37" s="230" t="s">
        <v>217</v>
      </c>
      <c r="D37" s="356"/>
      <c r="E37" s="356"/>
      <c r="F37" s="356"/>
      <c r="G37" s="356"/>
      <c r="H37" s="356"/>
      <c r="I37" s="356"/>
      <c r="J37" s="357" t="e">
        <f>100*J36/J$54</f>
        <v>#REF!</v>
      </c>
      <c r="K37" s="357">
        <v>4.6</v>
      </c>
      <c r="L37" s="357">
        <v>4.5</v>
      </c>
      <c r="M37" s="357">
        <v>4.4</v>
      </c>
      <c r="N37" s="357">
        <v>4.3</v>
      </c>
      <c r="O37" s="357">
        <v>4.2</v>
      </c>
    </row>
    <row r="38" spans="1:19" ht="36.75" customHeight="1">
      <c r="A38" s="224"/>
      <c r="B38" s="225"/>
      <c r="C38" s="226" t="s">
        <v>231</v>
      </c>
      <c r="D38" s="227">
        <v>1883</v>
      </c>
      <c r="E38" s="227">
        <v>1935.5</v>
      </c>
      <c r="F38" s="227">
        <v>695</v>
      </c>
      <c r="G38" s="227"/>
      <c r="H38" s="227">
        <v>1351</v>
      </c>
      <c r="I38" s="227">
        <v>1486</v>
      </c>
      <c r="J38" s="237" t="e">
        <f>+K38+L38+M38+N38+O38</f>
        <v>#REF!</v>
      </c>
      <c r="K38" s="237" t="e">
        <f>+K$54*K39/100</f>
        <v>#REF!</v>
      </c>
      <c r="L38" s="237" t="e">
        <f>+L$54*L39/100</f>
        <v>#REF!</v>
      </c>
      <c r="M38" s="237" t="e">
        <f>+M$54*M39/100</f>
        <v>#REF!</v>
      </c>
      <c r="N38" s="237" t="e">
        <f>+N$54*N39/100</f>
        <v>#REF!</v>
      </c>
      <c r="O38" s="237" t="e">
        <f>+O$54*O39/100</f>
        <v>#REF!</v>
      </c>
      <c r="R38" s="206">
        <f>1456+65373+11914</f>
        <v>78743</v>
      </c>
      <c r="S38" s="231" t="e">
        <f>+L40+L42+L50</f>
        <v>#REF!</v>
      </c>
    </row>
    <row r="39" spans="1:22" s="223" customFormat="1" ht="18" customHeight="1">
      <c r="A39" s="228"/>
      <c r="B39" s="232"/>
      <c r="C39" s="230" t="s">
        <v>217</v>
      </c>
      <c r="D39" s="361"/>
      <c r="E39" s="356"/>
      <c r="F39" s="356"/>
      <c r="G39" s="356"/>
      <c r="H39" s="356"/>
      <c r="I39" s="356"/>
      <c r="J39" s="357" t="e">
        <f>100*J38/J$54</f>
        <v>#REF!</v>
      </c>
      <c r="K39" s="357">
        <v>1.1</v>
      </c>
      <c r="L39" s="357">
        <v>1.1</v>
      </c>
      <c r="M39" s="362">
        <v>1.1</v>
      </c>
      <c r="N39" s="357">
        <v>1.1</v>
      </c>
      <c r="O39" s="357">
        <v>1.1</v>
      </c>
      <c r="P39" s="221"/>
      <c r="Q39" s="222"/>
      <c r="S39" s="221"/>
      <c r="T39" s="222"/>
      <c r="V39" s="221"/>
    </row>
    <row r="40" spans="1:19" ht="18" customHeight="1">
      <c r="A40" s="224"/>
      <c r="B40" s="225"/>
      <c r="C40" s="226" t="s">
        <v>232</v>
      </c>
      <c r="D40" s="227">
        <v>3914</v>
      </c>
      <c r="E40" s="227">
        <v>3854</v>
      </c>
      <c r="F40" s="227">
        <v>3072</v>
      </c>
      <c r="G40" s="227">
        <v>4452</v>
      </c>
      <c r="H40" s="227">
        <v>8260</v>
      </c>
      <c r="I40" s="227">
        <v>9727</v>
      </c>
      <c r="J40" s="237" t="e">
        <f>+K40+L40+M40+N40+O40</f>
        <v>#REF!</v>
      </c>
      <c r="K40" s="237" t="e">
        <f>+K$54*K41/100</f>
        <v>#REF!</v>
      </c>
      <c r="L40" s="237" t="e">
        <f>+L$54*L41/100</f>
        <v>#REF!</v>
      </c>
      <c r="M40" s="237" t="e">
        <f>+M$54*M41/100</f>
        <v>#REF!</v>
      </c>
      <c r="N40" s="237" t="e">
        <f>+N$54*N41/100</f>
        <v>#REF!</v>
      </c>
      <c r="O40" s="237" t="e">
        <f>+O$54*O41/100</f>
        <v>#REF!</v>
      </c>
      <c r="S40" s="206" t="e">
        <f>+L40/S38</f>
        <v>#REF!</v>
      </c>
    </row>
    <row r="41" spans="1:15" s="223" customFormat="1" ht="18" customHeight="1">
      <c r="A41" s="228"/>
      <c r="B41" s="229"/>
      <c r="C41" s="230" t="s">
        <v>217</v>
      </c>
      <c r="D41" s="356"/>
      <c r="E41" s="356"/>
      <c r="F41" s="356"/>
      <c r="G41" s="356"/>
      <c r="H41" s="356"/>
      <c r="I41" s="356"/>
      <c r="J41" s="357" t="e">
        <f>100*J40/J$54</f>
        <v>#REF!</v>
      </c>
      <c r="K41" s="357">
        <v>3.4</v>
      </c>
      <c r="L41" s="357">
        <v>3.4</v>
      </c>
      <c r="M41" s="357">
        <v>3.4</v>
      </c>
      <c r="N41" s="357">
        <v>3.4</v>
      </c>
      <c r="O41" s="357">
        <v>3.4</v>
      </c>
    </row>
    <row r="42" spans="1:19" ht="55.5" customHeight="1" hidden="1">
      <c r="A42" s="224"/>
      <c r="B42" s="225"/>
      <c r="C42" s="226" t="s">
        <v>233</v>
      </c>
      <c r="D42" s="227">
        <v>793</v>
      </c>
      <c r="E42" s="227">
        <v>342</v>
      </c>
      <c r="F42" s="227">
        <v>818</v>
      </c>
      <c r="G42" s="227">
        <v>892</v>
      </c>
      <c r="H42" s="227">
        <v>1015</v>
      </c>
      <c r="I42" s="227">
        <v>1217</v>
      </c>
      <c r="J42" s="237"/>
      <c r="K42" s="237"/>
      <c r="L42" s="237"/>
      <c r="M42" s="237"/>
      <c r="N42" s="237"/>
      <c r="O42" s="237"/>
      <c r="S42" s="206" t="e">
        <f>+L42/S38</f>
        <v>#REF!</v>
      </c>
    </row>
    <row r="43" spans="1:15" s="223" customFormat="1" ht="18" customHeight="1" hidden="1">
      <c r="A43" s="228"/>
      <c r="B43" s="229"/>
      <c r="C43" s="230" t="s">
        <v>217</v>
      </c>
      <c r="D43" s="356"/>
      <c r="E43" s="356"/>
      <c r="F43" s="356"/>
      <c r="G43" s="356"/>
      <c r="H43" s="356"/>
      <c r="I43" s="356"/>
      <c r="J43" s="357"/>
      <c r="K43" s="357"/>
      <c r="L43" s="357"/>
      <c r="M43" s="357"/>
      <c r="N43" s="357"/>
      <c r="O43" s="357"/>
    </row>
    <row r="44" spans="1:19" ht="18" customHeight="1">
      <c r="A44" s="224"/>
      <c r="B44" s="225"/>
      <c r="C44" s="226" t="s">
        <v>234</v>
      </c>
      <c r="D44" s="227">
        <v>6084</v>
      </c>
      <c r="E44" s="227">
        <v>6225.3</v>
      </c>
      <c r="F44" s="227">
        <v>5882</v>
      </c>
      <c r="G44" s="227">
        <v>7118</v>
      </c>
      <c r="H44" s="227">
        <v>8614</v>
      </c>
      <c r="I44" s="227">
        <v>10097</v>
      </c>
      <c r="J44" s="237" t="e">
        <f>+K44+L44+M44+N44+O44</f>
        <v>#REF!</v>
      </c>
      <c r="K44" s="237" t="e">
        <f>+K$54*K45/100</f>
        <v>#REF!</v>
      </c>
      <c r="L44" s="237" t="e">
        <f>+L$54*L45/100</f>
        <v>#REF!</v>
      </c>
      <c r="M44" s="237" t="e">
        <f>+M$54*M45/100</f>
        <v>#REF!</v>
      </c>
      <c r="N44" s="237" t="e">
        <f>+N$54*N45/100</f>
        <v>#REF!</v>
      </c>
      <c r="O44" s="237" t="e">
        <f>+O$54*O45/100</f>
        <v>#REF!</v>
      </c>
      <c r="S44" s="206" t="e">
        <f>+L50/S38</f>
        <v>#REF!</v>
      </c>
    </row>
    <row r="45" spans="1:15" s="223" customFormat="1" ht="18" customHeight="1">
      <c r="A45" s="228"/>
      <c r="B45" s="229"/>
      <c r="C45" s="230" t="s">
        <v>217</v>
      </c>
      <c r="D45" s="356"/>
      <c r="E45" s="356"/>
      <c r="F45" s="356"/>
      <c r="G45" s="356"/>
      <c r="H45" s="356"/>
      <c r="I45" s="356"/>
      <c r="J45" s="357" t="e">
        <f>100*J44/J$54</f>
        <v>#REF!</v>
      </c>
      <c r="K45" s="357">
        <v>2.9</v>
      </c>
      <c r="L45" s="357">
        <v>3</v>
      </c>
      <c r="M45" s="357">
        <v>3.1</v>
      </c>
      <c r="N45" s="357">
        <v>3.2</v>
      </c>
      <c r="O45" s="357">
        <v>3.3</v>
      </c>
    </row>
    <row r="46" spans="1:15" ht="18" customHeight="1">
      <c r="A46" s="224"/>
      <c r="B46" s="225"/>
      <c r="C46" s="226" t="s">
        <v>235</v>
      </c>
      <c r="D46" s="227">
        <v>2323</v>
      </c>
      <c r="E46" s="227">
        <v>2770.1</v>
      </c>
      <c r="F46" s="227">
        <v>3207</v>
      </c>
      <c r="G46" s="227">
        <v>4370</v>
      </c>
      <c r="H46" s="227">
        <v>5665</v>
      </c>
      <c r="I46" s="227">
        <v>5775</v>
      </c>
      <c r="J46" s="237" t="e">
        <f>+K46+L46+M46+N46+O46</f>
        <v>#REF!</v>
      </c>
      <c r="K46" s="237" t="e">
        <f>+K$54*K47/100</f>
        <v>#REF!</v>
      </c>
      <c r="L46" s="237" t="e">
        <f>+L$54*L47/100</f>
        <v>#REF!</v>
      </c>
      <c r="M46" s="237" t="e">
        <f>+M$54*M47/100</f>
        <v>#REF!</v>
      </c>
      <c r="N46" s="237" t="e">
        <f>+N$54*N47/100</f>
        <v>#REF!</v>
      </c>
      <c r="O46" s="237" t="e">
        <f>+O$54*O47/100</f>
        <v>#REF!</v>
      </c>
    </row>
    <row r="47" spans="1:15" s="223" customFormat="1" ht="18" customHeight="1">
      <c r="A47" s="228"/>
      <c r="B47" s="229"/>
      <c r="C47" s="230" t="s">
        <v>217</v>
      </c>
      <c r="D47" s="356"/>
      <c r="E47" s="356"/>
      <c r="F47" s="356"/>
      <c r="G47" s="356"/>
      <c r="H47" s="356"/>
      <c r="I47" s="356"/>
      <c r="J47" s="357" t="e">
        <f>100*J46/J$54</f>
        <v>#REF!</v>
      </c>
      <c r="K47" s="357">
        <v>1.5</v>
      </c>
      <c r="L47" s="357">
        <v>1.6</v>
      </c>
      <c r="M47" s="357">
        <v>1.7</v>
      </c>
      <c r="N47" s="357">
        <v>1.8</v>
      </c>
      <c r="O47" s="357">
        <v>1.9</v>
      </c>
    </row>
    <row r="48" spans="1:15" ht="18" customHeight="1" hidden="1">
      <c r="A48" s="224"/>
      <c r="B48" s="225"/>
      <c r="C48" s="226" t="s">
        <v>236</v>
      </c>
      <c r="D48" s="227">
        <v>2812</v>
      </c>
      <c r="E48" s="227">
        <v>2228.4</v>
      </c>
      <c r="F48" s="227">
        <v>3029</v>
      </c>
      <c r="G48" s="227">
        <v>4288</v>
      </c>
      <c r="H48" s="227">
        <v>4583</v>
      </c>
      <c r="I48" s="227">
        <v>4893</v>
      </c>
      <c r="J48" s="237"/>
      <c r="K48" s="237"/>
      <c r="L48" s="237"/>
      <c r="M48" s="237"/>
      <c r="N48" s="237"/>
      <c r="O48" s="237"/>
    </row>
    <row r="49" spans="1:15" s="223" customFormat="1" ht="18" customHeight="1" hidden="1">
      <c r="A49" s="228"/>
      <c r="B49" s="236"/>
      <c r="C49" s="230" t="s">
        <v>217</v>
      </c>
      <c r="D49" s="356"/>
      <c r="E49" s="356"/>
      <c r="F49" s="356"/>
      <c r="G49" s="356"/>
      <c r="H49" s="356"/>
      <c r="I49" s="356"/>
      <c r="J49" s="357"/>
      <c r="K49" s="357"/>
      <c r="L49" s="357"/>
      <c r="M49" s="357"/>
      <c r="N49" s="357"/>
      <c r="O49" s="357"/>
    </row>
    <row r="50" spans="1:15" ht="18" customHeight="1">
      <c r="A50" s="225"/>
      <c r="B50" s="229"/>
      <c r="C50" s="226" t="s">
        <v>237</v>
      </c>
      <c r="D50" s="227">
        <v>20400</v>
      </c>
      <c r="E50" s="227">
        <v>23070.9</v>
      </c>
      <c r="F50" s="227">
        <v>29230</v>
      </c>
      <c r="G50" s="227">
        <v>35151</v>
      </c>
      <c r="H50" s="227">
        <v>46690</v>
      </c>
      <c r="I50" s="227">
        <v>56969</v>
      </c>
      <c r="J50" s="237" t="e">
        <f>+K50+L50+M50+N50+O50</f>
        <v>#REF!</v>
      </c>
      <c r="K50" s="237" t="e">
        <f>+K54-K8-K13-K15-K17-K19-K21-K26-K28-K30-K32-K34-K36-K38-K40-K42-K44-K46-K48</f>
        <v>#REF!</v>
      </c>
      <c r="L50" s="237" t="e">
        <f>+L54-L8-L13-L15-L17-L19-L21-L26-L28-L30-L32-L34-L36-L38-L40-L42-L44-L46-L48</f>
        <v>#REF!</v>
      </c>
      <c r="M50" s="237" t="e">
        <f>+M54-M8-M13-M15-M17-M19-M21-M26-M28-M30-M32-M34-M36-M38-M40-M42-M44-M46-M48</f>
        <v>#REF!</v>
      </c>
      <c r="N50" s="237" t="e">
        <f>+N54-N8-N13-N15-N17-N19-N21-N26-N28-N30-N32-N34-N36-N38-N40-N42-N44-N46-N48</f>
        <v>#REF!</v>
      </c>
      <c r="O50" s="237" t="e">
        <f>+O54-O8-O13-O15-O17-O19-O21-O26-O28-O30-O32-O34-O36-O38-O40-O42-O44-O46-O48</f>
        <v>#REF!</v>
      </c>
    </row>
    <row r="51" spans="1:15" s="223" customFormat="1" ht="18" customHeight="1">
      <c r="A51" s="229"/>
      <c r="B51" s="229"/>
      <c r="C51" s="230" t="s">
        <v>217</v>
      </c>
      <c r="D51" s="356"/>
      <c r="E51" s="356"/>
      <c r="F51" s="356"/>
      <c r="G51" s="356"/>
      <c r="H51" s="356"/>
      <c r="I51" s="356"/>
      <c r="J51" s="357" t="e">
        <f aca="true" t="shared" si="3" ref="J51:O51">100*J50/J$54</f>
        <v>#REF!</v>
      </c>
      <c r="K51" s="357" t="e">
        <f t="shared" si="3"/>
        <v>#REF!</v>
      </c>
      <c r="L51" s="357" t="e">
        <f t="shared" si="3"/>
        <v>#REF!</v>
      </c>
      <c r="M51" s="357" t="e">
        <f t="shared" si="3"/>
        <v>#REF!</v>
      </c>
      <c r="N51" s="357" t="e">
        <f t="shared" si="3"/>
        <v>#REF!</v>
      </c>
      <c r="O51" s="357" t="e">
        <f t="shared" si="3"/>
        <v>#REF!</v>
      </c>
    </row>
    <row r="52" spans="1:15" ht="15" customHeight="1">
      <c r="A52" s="238"/>
      <c r="B52" s="239"/>
      <c r="C52" s="240"/>
      <c r="D52" s="241"/>
      <c r="E52" s="241"/>
      <c r="F52" s="241"/>
      <c r="G52" s="241"/>
      <c r="H52" s="241"/>
      <c r="I52" s="241"/>
      <c r="J52" s="241"/>
      <c r="K52" s="241"/>
      <c r="L52" s="241"/>
      <c r="M52" s="241"/>
      <c r="N52" s="241"/>
      <c r="O52" s="242"/>
    </row>
    <row r="53" spans="3:14" ht="15" customHeight="1">
      <c r="C53" s="243"/>
      <c r="D53" s="208"/>
      <c r="E53" s="208"/>
      <c r="F53" s="208"/>
      <c r="G53" s="208"/>
      <c r="H53" s="208"/>
      <c r="I53" s="208"/>
      <c r="J53" s="208"/>
      <c r="K53" s="208"/>
      <c r="L53" s="208"/>
      <c r="M53" s="208"/>
      <c r="N53" s="208"/>
    </row>
    <row r="54" spans="1:15" ht="30" customHeight="1">
      <c r="A54" s="216"/>
      <c r="B54" s="1275" t="s">
        <v>174</v>
      </c>
      <c r="C54" s="1276"/>
      <c r="D54" s="345">
        <v>151183</v>
      </c>
      <c r="E54" s="345">
        <v>170496</v>
      </c>
      <c r="F54" s="345">
        <v>200145</v>
      </c>
      <c r="G54" s="345">
        <v>239246</v>
      </c>
      <c r="H54" s="345">
        <v>290927</v>
      </c>
      <c r="I54" s="345">
        <v>343135</v>
      </c>
      <c r="J54" s="343" t="e">
        <f>+K54+L54+M54+N54+O54</f>
        <v>#REF!</v>
      </c>
      <c r="K54" s="343" t="e">
        <f>#REF!*1000</f>
        <v>#REF!</v>
      </c>
      <c r="L54" s="343" t="e">
        <f>#REF!*1000</f>
        <v>#REF!</v>
      </c>
      <c r="M54" s="343" t="e">
        <f>#REF!*1000</f>
        <v>#REF!</v>
      </c>
      <c r="N54" s="343" t="e">
        <f>#REF!*1000</f>
        <v>#REF!</v>
      </c>
      <c r="O54" s="343" t="e">
        <f>#REF!*1000</f>
        <v>#REF!</v>
      </c>
    </row>
  </sheetData>
  <sheetProtection/>
  <mergeCells count="16">
    <mergeCell ref="B9:C9"/>
    <mergeCell ref="B10:C10"/>
    <mergeCell ref="A1:O1"/>
    <mergeCell ref="A2:O2"/>
    <mergeCell ref="A3:O3"/>
    <mergeCell ref="M4:O4"/>
    <mergeCell ref="B11:C11"/>
    <mergeCell ref="B12:C12"/>
    <mergeCell ref="B5:C5"/>
    <mergeCell ref="B54:C54"/>
    <mergeCell ref="B6:C6"/>
    <mergeCell ref="B23:C23"/>
    <mergeCell ref="B24:C24"/>
    <mergeCell ref="B25:C25"/>
    <mergeCell ref="B7:C7"/>
    <mergeCell ref="B8:C8"/>
  </mergeCells>
  <printOptions horizontalCentered="1"/>
  <pageMargins left="0.7086614173228347" right="0.7086614173228347" top="0.5905511811023623" bottom="0.5905511811023623" header="0.31496062992125984" footer="0.31496062992125984"/>
  <pageSetup fitToHeight="0" fitToWidth="1" horizontalDpi="600" verticalDpi="600" orientation="landscape" paperSize="9" scale="95" r:id="rId1"/>
  <headerFooter alignWithMargins="0">
    <oddHeader>&amp;R&amp;P</oddHeader>
  </headerFooter>
</worksheet>
</file>

<file path=xl/worksheets/sheet20.xml><?xml version="1.0" encoding="utf-8"?>
<worksheet xmlns="http://schemas.openxmlformats.org/spreadsheetml/2006/main" xmlns:r="http://schemas.openxmlformats.org/officeDocument/2006/relationships">
  <dimension ref="A1:Y74"/>
  <sheetViews>
    <sheetView zoomScalePageLayoutView="0" workbookViewId="0" topLeftCell="A1">
      <selection activeCell="J18" sqref="J18"/>
    </sheetView>
  </sheetViews>
  <sheetFormatPr defaultColWidth="11.421875" defaultRowHeight="12.75"/>
  <cols>
    <col min="1" max="1" width="31.421875" style="155" customWidth="1"/>
    <col min="2" max="2" width="11.140625" style="155" customWidth="1"/>
    <col min="3" max="3" width="2.140625" style="155" customWidth="1"/>
    <col min="4" max="4" width="10.8515625" style="155" customWidth="1"/>
    <col min="5" max="9" width="13.421875" style="155" hidden="1" customWidth="1"/>
    <col min="10" max="10" width="13.421875" style="155" customWidth="1"/>
    <col min="11" max="11" width="11.00390625" style="155" customWidth="1"/>
    <col min="12" max="12" width="1.8515625" style="155" customWidth="1"/>
    <col min="13" max="13" width="9.8515625" style="155" customWidth="1"/>
    <col min="14" max="14" width="11.00390625" style="155" customWidth="1"/>
    <col min="15" max="15" width="2.00390625" style="155" customWidth="1"/>
    <col min="16" max="16" width="10.140625" style="155" customWidth="1"/>
    <col min="17" max="17" width="11.421875" style="155" customWidth="1"/>
    <col min="18" max="18" width="1.8515625" style="155" customWidth="1"/>
    <col min="19" max="19" width="9.57421875" style="155" customWidth="1"/>
    <col min="20" max="20" width="11.140625" style="155" customWidth="1"/>
    <col min="21" max="21" width="1.421875" style="155" customWidth="1"/>
    <col min="22" max="22" width="10.8515625" style="155" customWidth="1"/>
    <col min="23" max="16384" width="11.421875" style="155" customWidth="1"/>
  </cols>
  <sheetData>
    <row r="1" spans="8:25" ht="33.75" customHeight="1">
      <c r="H1" s="1362"/>
      <c r="I1" s="1362"/>
      <c r="V1" s="173" t="s">
        <v>275</v>
      </c>
      <c r="W1" s="192"/>
      <c r="X1" s="192"/>
      <c r="Y1" s="192"/>
    </row>
    <row r="2" spans="1:20" ht="30.75" customHeight="1">
      <c r="A2" s="1364" t="s">
        <v>133</v>
      </c>
      <c r="B2" s="1364"/>
      <c r="C2" s="1364"/>
      <c r="D2" s="1364"/>
      <c r="E2" s="1364"/>
      <c r="F2" s="1364"/>
      <c r="G2" s="1364"/>
      <c r="H2" s="1364"/>
      <c r="I2" s="1364"/>
      <c r="J2" s="1364"/>
      <c r="K2" s="1364"/>
      <c r="L2" s="1364"/>
      <c r="M2" s="1364"/>
      <c r="N2" s="1364"/>
      <c r="O2" s="1364"/>
      <c r="P2" s="1364"/>
      <c r="Q2" s="1364"/>
      <c r="R2" s="1364"/>
      <c r="S2" s="1364"/>
      <c r="T2" s="1364"/>
    </row>
    <row r="3" spans="1:9" ht="14.25" customHeight="1">
      <c r="A3" s="141"/>
      <c r="B3" s="141"/>
      <c r="C3" s="141"/>
      <c r="D3" s="141"/>
      <c r="E3" s="141"/>
      <c r="F3" s="141"/>
      <c r="G3" s="141"/>
      <c r="H3" s="1362"/>
      <c r="I3" s="1362"/>
    </row>
    <row r="4" spans="1:20" ht="27" customHeight="1">
      <c r="A4" s="142"/>
      <c r="B4" s="142"/>
      <c r="C4" s="142"/>
      <c r="D4" s="142"/>
      <c r="E4" s="142"/>
      <c r="F4" s="142"/>
      <c r="G4" s="142"/>
      <c r="H4" s="1363" t="s">
        <v>134</v>
      </c>
      <c r="I4" s="1363"/>
      <c r="J4" s="1363"/>
      <c r="K4" s="1363"/>
      <c r="L4" s="1363"/>
      <c r="M4" s="1363"/>
      <c r="N4" s="1363"/>
      <c r="O4" s="1363"/>
      <c r="P4" s="1363"/>
      <c r="Q4" s="1363"/>
      <c r="R4" s="1363"/>
      <c r="S4" s="1363"/>
      <c r="T4" s="1363"/>
    </row>
    <row r="5" spans="1:22" ht="43.5" customHeight="1">
      <c r="A5" s="156"/>
      <c r="B5" s="1365" t="s">
        <v>135</v>
      </c>
      <c r="C5" s="1366"/>
      <c r="D5" s="1367"/>
      <c r="E5" s="143" t="s">
        <v>136</v>
      </c>
      <c r="F5" s="143" t="s">
        <v>137</v>
      </c>
      <c r="G5" s="143" t="s">
        <v>138</v>
      </c>
      <c r="H5" s="143" t="s">
        <v>139</v>
      </c>
      <c r="I5" s="143" t="s">
        <v>140</v>
      </c>
      <c r="J5" s="163" t="s">
        <v>213</v>
      </c>
      <c r="K5" s="1365" t="s">
        <v>141</v>
      </c>
      <c r="L5" s="1366"/>
      <c r="M5" s="1367"/>
      <c r="N5" s="1365" t="s">
        <v>142</v>
      </c>
      <c r="O5" s="1366"/>
      <c r="P5" s="1367"/>
      <c r="Q5" s="1365" t="s">
        <v>143</v>
      </c>
      <c r="R5" s="1366"/>
      <c r="S5" s="1367"/>
      <c r="T5" s="1365" t="s">
        <v>144</v>
      </c>
      <c r="U5" s="1366"/>
      <c r="V5" s="1367"/>
    </row>
    <row r="6" spans="1:20" s="167" customFormat="1" ht="36" customHeight="1" hidden="1">
      <c r="A6" s="164" t="s">
        <v>281</v>
      </c>
      <c r="B6" s="165"/>
      <c r="C6" s="165"/>
      <c r="D6" s="165"/>
      <c r="E6" s="165"/>
      <c r="F6" s="165"/>
      <c r="G6" s="165"/>
      <c r="H6" s="165"/>
      <c r="I6" s="165"/>
      <c r="J6" s="166"/>
      <c r="K6" s="165"/>
      <c r="L6" s="165"/>
      <c r="M6" s="165"/>
      <c r="N6" s="165"/>
      <c r="O6" s="165"/>
      <c r="P6" s="165"/>
      <c r="Q6" s="165"/>
      <c r="R6" s="165"/>
      <c r="S6" s="165"/>
      <c r="T6" s="176"/>
    </row>
    <row r="7" spans="1:22" s="148" customFormat="1" ht="24.75" customHeight="1">
      <c r="A7" s="144" t="s">
        <v>145</v>
      </c>
      <c r="B7" s="195" t="e">
        <f>+J7+K7+N7+Q7+T7</f>
        <v>#REF!</v>
      </c>
      <c r="C7" s="180" t="s">
        <v>284</v>
      </c>
      <c r="D7" s="197" t="e">
        <f>+B41</f>
        <v>#REF!</v>
      </c>
      <c r="E7" s="146"/>
      <c r="F7" s="147">
        <f>F8-F9</f>
        <v>-10360</v>
      </c>
      <c r="G7" s="147"/>
      <c r="H7" s="147">
        <f>H8-H9</f>
        <v>-14960</v>
      </c>
      <c r="I7" s="147">
        <f>I8-I9</f>
        <v>-14800</v>
      </c>
      <c r="J7" s="147" t="e">
        <f>+J8-J9</f>
        <v>#REF!</v>
      </c>
      <c r="K7" s="193" t="e">
        <f>+K8-K9</f>
        <v>#REF!</v>
      </c>
      <c r="L7" s="184" t="s">
        <v>284</v>
      </c>
      <c r="M7" s="199" t="e">
        <f>+K41</f>
        <v>#REF!</v>
      </c>
      <c r="N7" s="193" t="e">
        <f>+N8-N9</f>
        <v>#REF!</v>
      </c>
      <c r="O7" s="184" t="s">
        <v>284</v>
      </c>
      <c r="P7" s="199" t="e">
        <f>+N41</f>
        <v>#REF!</v>
      </c>
      <c r="Q7" s="193" t="e">
        <f>+Q8-Q9</f>
        <v>#REF!</v>
      </c>
      <c r="R7" s="184" t="s">
        <v>284</v>
      </c>
      <c r="S7" s="199" t="e">
        <f>+Q41</f>
        <v>#REF!</v>
      </c>
      <c r="T7" s="193" t="e">
        <f>+T8-T9</f>
        <v>#REF!</v>
      </c>
      <c r="U7" s="187" t="s">
        <v>284</v>
      </c>
      <c r="V7" s="199" t="e">
        <f>+T41</f>
        <v>#REF!</v>
      </c>
    </row>
    <row r="8" spans="1:22" s="159" customFormat="1" ht="24.75" customHeight="1">
      <c r="A8" s="157" t="s">
        <v>146</v>
      </c>
      <c r="B8" s="196" t="e">
        <f aca="true" t="shared" si="0" ref="B8:B18">+J8+K8+N8+Q8+T8</f>
        <v>#REF!</v>
      </c>
      <c r="C8" s="181" t="s">
        <v>284</v>
      </c>
      <c r="D8" s="198" t="e">
        <f aca="true" t="shared" si="1" ref="D8:D39">+B42</f>
        <v>#REF!</v>
      </c>
      <c r="E8" s="158"/>
      <c r="F8" s="152">
        <v>48561</v>
      </c>
      <c r="G8" s="152"/>
      <c r="H8" s="152">
        <v>64000</v>
      </c>
      <c r="I8" s="152">
        <v>76700</v>
      </c>
      <c r="J8" s="152" t="e">
        <f>+#REF!*1000</f>
        <v>#REF!</v>
      </c>
      <c r="K8" s="194" t="e">
        <f>+#REF!*1000</f>
        <v>#REF!</v>
      </c>
      <c r="L8" s="182" t="s">
        <v>284</v>
      </c>
      <c r="M8" s="200" t="e">
        <f aca="true" t="shared" si="2" ref="M8:M39">+K42</f>
        <v>#REF!</v>
      </c>
      <c r="N8" s="194" t="e">
        <f>+#REF!*1000</f>
        <v>#REF!</v>
      </c>
      <c r="O8" s="182" t="s">
        <v>284</v>
      </c>
      <c r="P8" s="200" t="e">
        <f aca="true" t="shared" si="3" ref="P8:P39">+N42</f>
        <v>#REF!</v>
      </c>
      <c r="Q8" s="194" t="e">
        <f>+#REF!*1000</f>
        <v>#REF!</v>
      </c>
      <c r="R8" s="182" t="s">
        <v>284</v>
      </c>
      <c r="S8" s="200" t="e">
        <f aca="true" t="shared" si="4" ref="S8:S39">+Q42</f>
        <v>#REF!</v>
      </c>
      <c r="T8" s="194" t="e">
        <f>+#REF!*1000</f>
        <v>#REF!</v>
      </c>
      <c r="U8" s="188" t="s">
        <v>284</v>
      </c>
      <c r="V8" s="200" t="e">
        <f aca="true" t="shared" si="5" ref="V8:V39">+T42</f>
        <v>#REF!</v>
      </c>
    </row>
    <row r="9" spans="1:22" s="159" customFormat="1" ht="24.75" customHeight="1">
      <c r="A9" s="157" t="s">
        <v>147</v>
      </c>
      <c r="B9" s="196" t="e">
        <f t="shared" si="0"/>
        <v>#REF!</v>
      </c>
      <c r="C9" s="181" t="s">
        <v>284</v>
      </c>
      <c r="D9" s="198" t="e">
        <f t="shared" si="1"/>
        <v>#REF!</v>
      </c>
      <c r="E9" s="158"/>
      <c r="F9" s="152">
        <v>58921</v>
      </c>
      <c r="G9" s="160"/>
      <c r="H9" s="160">
        <v>78960</v>
      </c>
      <c r="I9" s="160">
        <v>91500</v>
      </c>
      <c r="J9" s="152" t="e">
        <f>0.9*J10</f>
        <v>#REF!</v>
      </c>
      <c r="K9" s="194" t="e">
        <f>0.9*K10</f>
        <v>#REF!</v>
      </c>
      <c r="L9" s="182" t="s">
        <v>284</v>
      </c>
      <c r="M9" s="200" t="e">
        <f t="shared" si="2"/>
        <v>#REF!</v>
      </c>
      <c r="N9" s="194" t="e">
        <f>0.9*N10</f>
        <v>#REF!</v>
      </c>
      <c r="O9" s="182" t="s">
        <v>284</v>
      </c>
      <c r="P9" s="200" t="e">
        <f t="shared" si="3"/>
        <v>#REF!</v>
      </c>
      <c r="Q9" s="194" t="e">
        <f>0.9*Q10</f>
        <v>#REF!</v>
      </c>
      <c r="R9" s="182" t="s">
        <v>284</v>
      </c>
      <c r="S9" s="200" t="e">
        <f t="shared" si="4"/>
        <v>#REF!</v>
      </c>
      <c r="T9" s="194" t="e">
        <f>0.9*T10</f>
        <v>#REF!</v>
      </c>
      <c r="U9" s="188" t="s">
        <v>284</v>
      </c>
      <c r="V9" s="200" t="e">
        <f t="shared" si="5"/>
        <v>#REF!</v>
      </c>
    </row>
    <row r="10" spans="1:22" s="159" customFormat="1" ht="24.75" customHeight="1">
      <c r="A10" s="157" t="s">
        <v>148</v>
      </c>
      <c r="B10" s="196" t="e">
        <f t="shared" si="0"/>
        <v>#REF!</v>
      </c>
      <c r="C10" s="181" t="s">
        <v>284</v>
      </c>
      <c r="D10" s="198" t="e">
        <f t="shared" si="1"/>
        <v>#REF!</v>
      </c>
      <c r="E10" s="158"/>
      <c r="F10" s="152">
        <v>62682</v>
      </c>
      <c r="G10" s="160"/>
      <c r="H10" s="160">
        <v>84000</v>
      </c>
      <c r="I10" s="160">
        <v>97400</v>
      </c>
      <c r="J10" s="152" t="e">
        <f>+#REF!*1000</f>
        <v>#REF!</v>
      </c>
      <c r="K10" s="194" t="e">
        <f>+#REF!*1000</f>
        <v>#REF!</v>
      </c>
      <c r="L10" s="182" t="s">
        <v>284</v>
      </c>
      <c r="M10" s="200" t="e">
        <f t="shared" si="2"/>
        <v>#REF!</v>
      </c>
      <c r="N10" s="194" t="e">
        <f>+#REF!*1000</f>
        <v>#REF!</v>
      </c>
      <c r="O10" s="182" t="s">
        <v>284</v>
      </c>
      <c r="P10" s="200" t="e">
        <f t="shared" si="3"/>
        <v>#REF!</v>
      </c>
      <c r="Q10" s="194" t="e">
        <f>+#REF!*1000</f>
        <v>#REF!</v>
      </c>
      <c r="R10" s="182" t="s">
        <v>284</v>
      </c>
      <c r="S10" s="200" t="e">
        <f t="shared" si="4"/>
        <v>#REF!</v>
      </c>
      <c r="T10" s="194" t="e">
        <f>+#REF!*1000</f>
        <v>#REF!</v>
      </c>
      <c r="U10" s="188" t="s">
        <v>284</v>
      </c>
      <c r="V10" s="200" t="e">
        <f t="shared" si="5"/>
        <v>#REF!</v>
      </c>
    </row>
    <row r="11" spans="1:22" s="159" customFormat="1" ht="15" customHeight="1">
      <c r="A11" s="157"/>
      <c r="B11" s="178"/>
      <c r="C11" s="181"/>
      <c r="D11" s="174"/>
      <c r="E11" s="158"/>
      <c r="F11" s="152"/>
      <c r="G11" s="152"/>
      <c r="H11" s="152"/>
      <c r="I11" s="152"/>
      <c r="J11" s="152"/>
      <c r="K11" s="179"/>
      <c r="L11" s="182"/>
      <c r="M11" s="175"/>
      <c r="N11" s="179"/>
      <c r="O11" s="182"/>
      <c r="P11" s="175"/>
      <c r="Q11" s="179"/>
      <c r="R11" s="182"/>
      <c r="S11" s="175"/>
      <c r="T11" s="179"/>
      <c r="U11" s="188"/>
      <c r="V11" s="189"/>
    </row>
    <row r="12" spans="1:22" s="148" customFormat="1" ht="24.75" customHeight="1">
      <c r="A12" s="150" t="s">
        <v>149</v>
      </c>
      <c r="B12" s="1359">
        <f t="shared" si="0"/>
        <v>-11500</v>
      </c>
      <c r="C12" s="1360"/>
      <c r="D12" s="1361"/>
      <c r="E12" s="151"/>
      <c r="F12" s="161">
        <f>F13-F14</f>
        <v>-894</v>
      </c>
      <c r="G12" s="161"/>
      <c r="H12" s="161">
        <v>-1300</v>
      </c>
      <c r="I12" s="161">
        <v>-1391</v>
      </c>
      <c r="J12" s="152">
        <v>-3000</v>
      </c>
      <c r="K12" s="1356">
        <v>-1500</v>
      </c>
      <c r="L12" s="1357"/>
      <c r="M12" s="1358"/>
      <c r="N12" s="1356">
        <v>-2000</v>
      </c>
      <c r="O12" s="1357"/>
      <c r="P12" s="1358"/>
      <c r="Q12" s="1356">
        <v>-2500</v>
      </c>
      <c r="R12" s="1357"/>
      <c r="S12" s="1358"/>
      <c r="T12" s="1356">
        <v>-2500</v>
      </c>
      <c r="U12" s="1357"/>
      <c r="V12" s="1358"/>
    </row>
    <row r="13" spans="1:22" s="159" customFormat="1" ht="24.75" customHeight="1" hidden="1">
      <c r="A13" s="157" t="s">
        <v>150</v>
      </c>
      <c r="B13" s="177">
        <f t="shared" si="0"/>
        <v>0</v>
      </c>
      <c r="C13" s="181" t="s">
        <v>284</v>
      </c>
      <c r="D13" s="174">
        <f t="shared" si="1"/>
        <v>0</v>
      </c>
      <c r="E13" s="158"/>
      <c r="F13" s="152">
        <v>6030</v>
      </c>
      <c r="G13" s="152"/>
      <c r="H13" s="152">
        <v>7055</v>
      </c>
      <c r="I13" s="152">
        <v>7549</v>
      </c>
      <c r="J13" s="152"/>
      <c r="K13" s="179"/>
      <c r="L13" s="182" t="s">
        <v>284</v>
      </c>
      <c r="M13" s="175">
        <f t="shared" si="2"/>
        <v>0</v>
      </c>
      <c r="N13" s="179"/>
      <c r="O13" s="182" t="s">
        <v>284</v>
      </c>
      <c r="P13" s="175">
        <f t="shared" si="3"/>
        <v>0</v>
      </c>
      <c r="Q13" s="179"/>
      <c r="R13" s="182" t="s">
        <v>284</v>
      </c>
      <c r="S13" s="175">
        <f t="shared" si="4"/>
        <v>0</v>
      </c>
      <c r="T13" s="179"/>
      <c r="U13" s="188" t="s">
        <v>284</v>
      </c>
      <c r="V13" s="189">
        <f t="shared" si="5"/>
        <v>0</v>
      </c>
    </row>
    <row r="14" spans="1:22" s="159" customFormat="1" ht="24.75" customHeight="1" hidden="1">
      <c r="A14" s="157" t="s">
        <v>151</v>
      </c>
      <c r="B14" s="177">
        <f t="shared" si="0"/>
        <v>0</v>
      </c>
      <c r="C14" s="181" t="s">
        <v>284</v>
      </c>
      <c r="D14" s="174">
        <f t="shared" si="1"/>
        <v>0</v>
      </c>
      <c r="E14" s="158"/>
      <c r="F14" s="152">
        <v>6924</v>
      </c>
      <c r="G14" s="152"/>
      <c r="H14" s="152">
        <v>8355</v>
      </c>
      <c r="I14" s="152">
        <v>8940</v>
      </c>
      <c r="J14" s="152"/>
      <c r="K14" s="179"/>
      <c r="L14" s="182" t="s">
        <v>284</v>
      </c>
      <c r="M14" s="175">
        <f t="shared" si="2"/>
        <v>0</v>
      </c>
      <c r="N14" s="179"/>
      <c r="O14" s="182" t="s">
        <v>284</v>
      </c>
      <c r="P14" s="175">
        <f t="shared" si="3"/>
        <v>0</v>
      </c>
      <c r="Q14" s="179"/>
      <c r="R14" s="182" t="s">
        <v>284</v>
      </c>
      <c r="S14" s="175">
        <f t="shared" si="4"/>
        <v>0</v>
      </c>
      <c r="T14" s="179"/>
      <c r="U14" s="188" t="s">
        <v>284</v>
      </c>
      <c r="V14" s="189">
        <f t="shared" si="5"/>
        <v>0</v>
      </c>
    </row>
    <row r="15" spans="1:22" s="148" customFormat="1" ht="24.75" customHeight="1">
      <c r="A15" s="150" t="s">
        <v>152</v>
      </c>
      <c r="B15" s="1359">
        <f t="shared" si="0"/>
        <v>-34086</v>
      </c>
      <c r="C15" s="1360"/>
      <c r="D15" s="1361"/>
      <c r="E15" s="151"/>
      <c r="F15" s="161">
        <f>F16-F17</f>
        <v>-2168</v>
      </c>
      <c r="G15" s="161"/>
      <c r="H15" s="161">
        <f>H16-H17</f>
        <v>-2432</v>
      </c>
      <c r="I15" s="161">
        <f>I16-I17</f>
        <v>-2602</v>
      </c>
      <c r="J15" s="152">
        <v>-5124</v>
      </c>
      <c r="K15" s="1356">
        <v>-6950</v>
      </c>
      <c r="L15" s="1357"/>
      <c r="M15" s="1358"/>
      <c r="N15" s="1356">
        <v>-6452</v>
      </c>
      <c r="O15" s="1357"/>
      <c r="P15" s="1358"/>
      <c r="Q15" s="1356">
        <v>-7109</v>
      </c>
      <c r="R15" s="1357"/>
      <c r="S15" s="1358"/>
      <c r="T15" s="1356">
        <v>-8451</v>
      </c>
      <c r="U15" s="1357"/>
      <c r="V15" s="1358"/>
    </row>
    <row r="16" spans="1:22" s="159" customFormat="1" ht="24.75" customHeight="1" hidden="1">
      <c r="A16" s="157" t="s">
        <v>150</v>
      </c>
      <c r="B16" s="177">
        <f t="shared" si="0"/>
        <v>0</v>
      </c>
      <c r="C16" s="181" t="s">
        <v>284</v>
      </c>
      <c r="D16" s="174">
        <f t="shared" si="1"/>
        <v>0</v>
      </c>
      <c r="E16" s="158"/>
      <c r="F16" s="152">
        <v>1093</v>
      </c>
      <c r="G16" s="152"/>
      <c r="H16" s="152">
        <v>1268</v>
      </c>
      <c r="I16" s="152">
        <v>1357</v>
      </c>
      <c r="J16" s="152"/>
      <c r="K16" s="179"/>
      <c r="L16" s="182" t="s">
        <v>284</v>
      </c>
      <c r="M16" s="175">
        <f t="shared" si="2"/>
        <v>0</v>
      </c>
      <c r="N16" s="179"/>
      <c r="O16" s="182" t="s">
        <v>284</v>
      </c>
      <c r="P16" s="175">
        <f t="shared" si="3"/>
        <v>0</v>
      </c>
      <c r="Q16" s="179"/>
      <c r="R16" s="182" t="s">
        <v>284</v>
      </c>
      <c r="S16" s="175">
        <f t="shared" si="4"/>
        <v>0</v>
      </c>
      <c r="T16" s="179"/>
      <c r="U16" s="188" t="s">
        <v>284</v>
      </c>
      <c r="V16" s="189">
        <f t="shared" si="5"/>
        <v>0</v>
      </c>
    </row>
    <row r="17" spans="1:22" s="159" customFormat="1" ht="24.75" customHeight="1" hidden="1">
      <c r="A17" s="157" t="s">
        <v>151</v>
      </c>
      <c r="B17" s="177">
        <f t="shared" si="0"/>
        <v>0</v>
      </c>
      <c r="C17" s="181" t="s">
        <v>284</v>
      </c>
      <c r="D17" s="174">
        <f t="shared" si="1"/>
        <v>0</v>
      </c>
      <c r="E17" s="158"/>
      <c r="F17" s="152">
        <v>3261</v>
      </c>
      <c r="G17" s="152"/>
      <c r="H17" s="152">
        <v>3700</v>
      </c>
      <c r="I17" s="152">
        <v>3959</v>
      </c>
      <c r="J17" s="152"/>
      <c r="K17" s="179"/>
      <c r="L17" s="182" t="s">
        <v>284</v>
      </c>
      <c r="M17" s="175">
        <f t="shared" si="2"/>
        <v>0</v>
      </c>
      <c r="N17" s="179"/>
      <c r="O17" s="182" t="s">
        <v>284</v>
      </c>
      <c r="P17" s="175">
        <f t="shared" si="3"/>
        <v>0</v>
      </c>
      <c r="Q17" s="179"/>
      <c r="R17" s="182" t="s">
        <v>284</v>
      </c>
      <c r="S17" s="175">
        <f t="shared" si="4"/>
        <v>0</v>
      </c>
      <c r="T17" s="179"/>
      <c r="U17" s="188" t="s">
        <v>284</v>
      </c>
      <c r="V17" s="189">
        <f t="shared" si="5"/>
        <v>0</v>
      </c>
    </row>
    <row r="18" spans="1:22" s="148" customFormat="1" ht="24.75" customHeight="1">
      <c r="A18" s="150" t="s">
        <v>153</v>
      </c>
      <c r="B18" s="1359">
        <f t="shared" si="0"/>
        <v>32038</v>
      </c>
      <c r="C18" s="1360"/>
      <c r="D18" s="1361"/>
      <c r="E18" s="151"/>
      <c r="F18" s="161">
        <v>6430</v>
      </c>
      <c r="G18" s="161"/>
      <c r="H18" s="161">
        <v>7257</v>
      </c>
      <c r="I18" s="161">
        <v>8100</v>
      </c>
      <c r="J18" s="152">
        <v>6500</v>
      </c>
      <c r="K18" s="1356">
        <v>5700</v>
      </c>
      <c r="L18" s="1357"/>
      <c r="M18" s="1358"/>
      <c r="N18" s="1356">
        <v>6270</v>
      </c>
      <c r="O18" s="1357"/>
      <c r="P18" s="1358"/>
      <c r="Q18" s="1356">
        <v>6717</v>
      </c>
      <c r="R18" s="1357"/>
      <c r="S18" s="1358"/>
      <c r="T18" s="1356">
        <v>6851</v>
      </c>
      <c r="U18" s="1357"/>
      <c r="V18" s="1358"/>
    </row>
    <row r="19" spans="1:22" s="159" customFormat="1" ht="24.75" customHeight="1" hidden="1">
      <c r="A19" s="157" t="s">
        <v>154</v>
      </c>
      <c r="B19" s="177">
        <f>+SUM(J19:T19)</f>
        <v>0</v>
      </c>
      <c r="C19" s="181" t="s">
        <v>284</v>
      </c>
      <c r="D19" s="174">
        <f t="shared" si="1"/>
        <v>0</v>
      </c>
      <c r="E19" s="158"/>
      <c r="F19" s="152">
        <v>250</v>
      </c>
      <c r="G19" s="152"/>
      <c r="H19" s="152">
        <v>257</v>
      </c>
      <c r="I19" s="152">
        <v>260</v>
      </c>
      <c r="J19" s="152"/>
      <c r="K19" s="179"/>
      <c r="L19" s="182" t="s">
        <v>284</v>
      </c>
      <c r="M19" s="175">
        <f t="shared" si="2"/>
        <v>0</v>
      </c>
      <c r="N19" s="179"/>
      <c r="O19" s="182" t="s">
        <v>284</v>
      </c>
      <c r="P19" s="175">
        <f t="shared" si="3"/>
        <v>0</v>
      </c>
      <c r="Q19" s="179"/>
      <c r="R19" s="182" t="s">
        <v>284</v>
      </c>
      <c r="S19" s="175">
        <f t="shared" si="4"/>
        <v>0</v>
      </c>
      <c r="T19" s="179"/>
      <c r="U19" s="188" t="s">
        <v>284</v>
      </c>
      <c r="V19" s="189">
        <f t="shared" si="5"/>
        <v>0</v>
      </c>
    </row>
    <row r="20" spans="1:22" s="159" customFormat="1" ht="24.75" customHeight="1" hidden="1">
      <c r="A20" s="157" t="s">
        <v>155</v>
      </c>
      <c r="B20" s="177">
        <f>+SUM(J20:T20)</f>
        <v>0</v>
      </c>
      <c r="C20" s="181" t="s">
        <v>284</v>
      </c>
      <c r="D20" s="174">
        <f t="shared" si="1"/>
        <v>0</v>
      </c>
      <c r="E20" s="158"/>
      <c r="F20" s="152">
        <v>6180</v>
      </c>
      <c r="G20" s="152"/>
      <c r="H20" s="152">
        <v>7000</v>
      </c>
      <c r="I20" s="152">
        <v>7840</v>
      </c>
      <c r="J20" s="152"/>
      <c r="K20" s="179"/>
      <c r="L20" s="182" t="s">
        <v>284</v>
      </c>
      <c r="M20" s="175">
        <f t="shared" si="2"/>
        <v>0</v>
      </c>
      <c r="N20" s="179"/>
      <c r="O20" s="182" t="s">
        <v>284</v>
      </c>
      <c r="P20" s="175">
        <f t="shared" si="3"/>
        <v>0</v>
      </c>
      <c r="Q20" s="179"/>
      <c r="R20" s="182" t="s">
        <v>284</v>
      </c>
      <c r="S20" s="175">
        <f t="shared" si="4"/>
        <v>0</v>
      </c>
      <c r="T20" s="179"/>
      <c r="U20" s="188" t="s">
        <v>284</v>
      </c>
      <c r="V20" s="189">
        <f t="shared" si="5"/>
        <v>0</v>
      </c>
    </row>
    <row r="21" spans="1:22" s="159" customFormat="1" ht="21.75" customHeight="1">
      <c r="A21" s="157"/>
      <c r="B21" s="177"/>
      <c r="C21" s="181"/>
      <c r="D21" s="174"/>
      <c r="E21" s="158"/>
      <c r="F21" s="152"/>
      <c r="G21" s="152"/>
      <c r="H21" s="152"/>
      <c r="I21" s="152"/>
      <c r="J21" s="152"/>
      <c r="K21" s="179"/>
      <c r="L21" s="182"/>
      <c r="M21" s="175"/>
      <c r="N21" s="179"/>
      <c r="O21" s="182"/>
      <c r="P21" s="175"/>
      <c r="Q21" s="179"/>
      <c r="R21" s="182"/>
      <c r="S21" s="175"/>
      <c r="T21" s="179"/>
      <c r="U21" s="188"/>
      <c r="V21" s="189"/>
    </row>
    <row r="22" spans="1:22" s="148" customFormat="1" ht="24.75" customHeight="1">
      <c r="A22" s="153" t="s">
        <v>156</v>
      </c>
      <c r="B22" s="196" t="e">
        <f aca="true" t="shared" si="6" ref="B22:B39">+J22+K22+N22+Q22+T22</f>
        <v>#REF!</v>
      </c>
      <c r="C22" s="181" t="s">
        <v>284</v>
      </c>
      <c r="D22" s="198" t="e">
        <f t="shared" si="1"/>
        <v>#REF!</v>
      </c>
      <c r="E22" s="154"/>
      <c r="F22" s="161">
        <v>-6992</v>
      </c>
      <c r="G22" s="161"/>
      <c r="H22" s="161">
        <v>-11435</v>
      </c>
      <c r="I22" s="161">
        <v>-10690</v>
      </c>
      <c r="J22" s="152" t="e">
        <f>+J7+J12+J15+J18</f>
        <v>#REF!</v>
      </c>
      <c r="K22" s="194" t="e">
        <f>+K7+K12+K15+K18</f>
        <v>#REF!</v>
      </c>
      <c r="L22" s="182" t="s">
        <v>284</v>
      </c>
      <c r="M22" s="200" t="e">
        <f t="shared" si="2"/>
        <v>#REF!</v>
      </c>
      <c r="N22" s="194" t="e">
        <f>+N7+N12+N15+N18</f>
        <v>#REF!</v>
      </c>
      <c r="O22" s="182" t="s">
        <v>284</v>
      </c>
      <c r="P22" s="200" t="e">
        <f t="shared" si="3"/>
        <v>#REF!</v>
      </c>
      <c r="Q22" s="194" t="e">
        <f>+Q7+Q12+Q15+Q18</f>
        <v>#REF!</v>
      </c>
      <c r="R22" s="182" t="s">
        <v>284</v>
      </c>
      <c r="S22" s="200" t="e">
        <f t="shared" si="4"/>
        <v>#REF!</v>
      </c>
      <c r="T22" s="194" t="e">
        <f>+T7+T12+T15+T18</f>
        <v>#REF!</v>
      </c>
      <c r="U22" s="188" t="s">
        <v>284</v>
      </c>
      <c r="V22" s="200" t="e">
        <f t="shared" si="5"/>
        <v>#REF!</v>
      </c>
    </row>
    <row r="23" spans="1:22" s="159" customFormat="1" ht="19.5" customHeight="1">
      <c r="A23" s="157"/>
      <c r="B23" s="177"/>
      <c r="C23" s="181"/>
      <c r="D23" s="198"/>
      <c r="E23" s="158"/>
      <c r="F23" s="152"/>
      <c r="G23" s="152"/>
      <c r="H23" s="152"/>
      <c r="I23" s="152"/>
      <c r="J23" s="152"/>
      <c r="K23" s="194"/>
      <c r="L23" s="182"/>
      <c r="M23" s="200"/>
      <c r="N23" s="194"/>
      <c r="O23" s="182"/>
      <c r="P23" s="200"/>
      <c r="Q23" s="194"/>
      <c r="R23" s="182"/>
      <c r="S23" s="200"/>
      <c r="T23" s="194"/>
      <c r="U23" s="188"/>
      <c r="V23" s="189"/>
    </row>
    <row r="24" spans="1:22" s="159" customFormat="1" ht="24.75" customHeight="1">
      <c r="A24" s="153" t="s">
        <v>157</v>
      </c>
      <c r="B24" s="196" t="e">
        <f t="shared" si="6"/>
        <v>#REF!</v>
      </c>
      <c r="C24" s="181" t="s">
        <v>284</v>
      </c>
      <c r="D24" s="198" t="e">
        <f t="shared" si="1"/>
        <v>#REF!</v>
      </c>
      <c r="E24" s="158"/>
      <c r="F24" s="152"/>
      <c r="G24" s="152"/>
      <c r="H24" s="152"/>
      <c r="I24" s="152"/>
      <c r="J24" s="152" t="e">
        <f>+J26+J27+J30+J35-3600</f>
        <v>#REF!</v>
      </c>
      <c r="K24" s="194" t="e">
        <f>+K26+K27+K30+K35-3600</f>
        <v>#REF!</v>
      </c>
      <c r="L24" s="182" t="s">
        <v>284</v>
      </c>
      <c r="M24" s="200" t="e">
        <f t="shared" si="2"/>
        <v>#REF!</v>
      </c>
      <c r="N24" s="194" t="e">
        <f>+N26+N27+N30+N35-3600</f>
        <v>#REF!</v>
      </c>
      <c r="O24" s="182" t="s">
        <v>284</v>
      </c>
      <c r="P24" s="200" t="e">
        <f t="shared" si="3"/>
        <v>#REF!</v>
      </c>
      <c r="Q24" s="194" t="e">
        <f>+Q26+Q27+Q30+Q35-3600</f>
        <v>#REF!</v>
      </c>
      <c r="R24" s="182" t="s">
        <v>284</v>
      </c>
      <c r="S24" s="200" t="e">
        <f t="shared" si="4"/>
        <v>#REF!</v>
      </c>
      <c r="T24" s="194" t="e">
        <f>+T26+T27+T30+T35-3600</f>
        <v>#REF!</v>
      </c>
      <c r="U24" s="188" t="s">
        <v>284</v>
      </c>
      <c r="V24" s="200" t="e">
        <f t="shared" si="5"/>
        <v>#REF!</v>
      </c>
    </row>
    <row r="25" spans="1:22" s="159" customFormat="1" ht="21.75" customHeight="1">
      <c r="A25" s="157"/>
      <c r="B25" s="177"/>
      <c r="C25" s="181"/>
      <c r="D25" s="174"/>
      <c r="E25" s="158"/>
      <c r="F25" s="152"/>
      <c r="G25" s="152"/>
      <c r="H25" s="152"/>
      <c r="I25" s="152"/>
      <c r="J25" s="152"/>
      <c r="K25" s="194"/>
      <c r="L25" s="182"/>
      <c r="M25" s="200"/>
      <c r="N25" s="194"/>
      <c r="O25" s="182"/>
      <c r="P25" s="200"/>
      <c r="Q25" s="194"/>
      <c r="R25" s="182"/>
      <c r="S25" s="200"/>
      <c r="T25" s="194"/>
      <c r="U25" s="188"/>
      <c r="V25" s="189"/>
    </row>
    <row r="26" spans="1:22" s="148" customFormat="1" ht="24.75" customHeight="1">
      <c r="A26" s="150" t="s">
        <v>158</v>
      </c>
      <c r="B26" s="196" t="e">
        <f t="shared" si="6"/>
        <v>#REF!</v>
      </c>
      <c r="C26" s="181" t="s">
        <v>284</v>
      </c>
      <c r="D26" s="198" t="e">
        <f t="shared" si="1"/>
        <v>#REF!</v>
      </c>
      <c r="E26" s="151"/>
      <c r="F26" s="161"/>
      <c r="G26" s="161"/>
      <c r="H26" s="161"/>
      <c r="I26" s="161"/>
      <c r="J26" s="152" t="e">
        <f>+'BM12-DTNN'!#REF!*1000-900</f>
        <v>#REF!</v>
      </c>
      <c r="K26" s="194" t="e">
        <f>+'BM12-DTNN'!#REF!*1000-1000</f>
        <v>#REF!</v>
      </c>
      <c r="L26" s="182" t="s">
        <v>284</v>
      </c>
      <c r="M26" s="200" t="e">
        <f t="shared" si="2"/>
        <v>#REF!</v>
      </c>
      <c r="N26" s="194" t="e">
        <f>+'BM12-DTNN'!#REF!*1000-1000</f>
        <v>#REF!</v>
      </c>
      <c r="O26" s="182" t="s">
        <v>284</v>
      </c>
      <c r="P26" s="200" t="e">
        <f t="shared" si="3"/>
        <v>#REF!</v>
      </c>
      <c r="Q26" s="194" t="e">
        <f>+'BM12-DTNN'!#REF!*1000-1100</f>
        <v>#REF!</v>
      </c>
      <c r="R26" s="182" t="s">
        <v>284</v>
      </c>
      <c r="S26" s="200" t="e">
        <f t="shared" si="4"/>
        <v>#REF!</v>
      </c>
      <c r="T26" s="194" t="e">
        <f>+'BM12-DTNN'!#REF!*1000-1200</f>
        <v>#REF!</v>
      </c>
      <c r="U26" s="188" t="s">
        <v>284</v>
      </c>
      <c r="V26" s="200" t="e">
        <f t="shared" si="5"/>
        <v>#REF!</v>
      </c>
    </row>
    <row r="27" spans="1:22" s="148" customFormat="1" ht="24.75" customHeight="1">
      <c r="A27" s="150" t="s">
        <v>159</v>
      </c>
      <c r="B27" s="1359">
        <f t="shared" si="6"/>
        <v>13505</v>
      </c>
      <c r="C27" s="1360"/>
      <c r="D27" s="1361"/>
      <c r="E27" s="151"/>
      <c r="F27" s="161">
        <v>2045</v>
      </c>
      <c r="G27" s="161"/>
      <c r="H27" s="161">
        <v>964</v>
      </c>
      <c r="I27" s="161">
        <v>562</v>
      </c>
      <c r="J27" s="152">
        <v>2000</v>
      </c>
      <c r="K27" s="1356">
        <v>2730</v>
      </c>
      <c r="L27" s="1357"/>
      <c r="M27" s="1358"/>
      <c r="N27" s="1356">
        <v>2839</v>
      </c>
      <c r="O27" s="1357"/>
      <c r="P27" s="1358"/>
      <c r="Q27" s="1356">
        <v>2924</v>
      </c>
      <c r="R27" s="1357"/>
      <c r="S27" s="1358"/>
      <c r="T27" s="1356">
        <v>3012</v>
      </c>
      <c r="U27" s="1357"/>
      <c r="V27" s="1358"/>
    </row>
    <row r="28" spans="1:22" s="159" customFormat="1" ht="24.75" customHeight="1" hidden="1">
      <c r="A28" s="157" t="s">
        <v>160</v>
      </c>
      <c r="B28" s="177">
        <f t="shared" si="6"/>
        <v>0</v>
      </c>
      <c r="C28" s="181" t="s">
        <v>284</v>
      </c>
      <c r="D28" s="174">
        <f t="shared" si="1"/>
        <v>0</v>
      </c>
      <c r="E28" s="158"/>
      <c r="F28" s="152">
        <v>3397</v>
      </c>
      <c r="G28" s="152"/>
      <c r="H28" s="152">
        <v>2562</v>
      </c>
      <c r="I28" s="152">
        <v>2639</v>
      </c>
      <c r="J28" s="152"/>
      <c r="K28" s="179"/>
      <c r="L28" s="182" t="s">
        <v>284</v>
      </c>
      <c r="M28" s="175">
        <f t="shared" si="2"/>
        <v>0</v>
      </c>
      <c r="N28" s="179"/>
      <c r="O28" s="182" t="s">
        <v>284</v>
      </c>
      <c r="P28" s="175">
        <f t="shared" si="3"/>
        <v>0</v>
      </c>
      <c r="Q28" s="179"/>
      <c r="R28" s="182" t="s">
        <v>284</v>
      </c>
      <c r="S28" s="175">
        <f t="shared" si="4"/>
        <v>0</v>
      </c>
      <c r="T28" s="179"/>
      <c r="U28" s="188" t="s">
        <v>284</v>
      </c>
      <c r="V28" s="189">
        <f t="shared" si="5"/>
        <v>0</v>
      </c>
    </row>
    <row r="29" spans="1:22" s="159" customFormat="1" ht="24.75" customHeight="1" hidden="1">
      <c r="A29" s="157" t="s">
        <v>161</v>
      </c>
      <c r="B29" s="177">
        <f t="shared" si="6"/>
        <v>0</v>
      </c>
      <c r="C29" s="181" t="s">
        <v>284</v>
      </c>
      <c r="D29" s="174">
        <f t="shared" si="1"/>
        <v>0</v>
      </c>
      <c r="E29" s="158"/>
      <c r="F29" s="152">
        <v>1352</v>
      </c>
      <c r="G29" s="152"/>
      <c r="H29" s="152">
        <v>1598</v>
      </c>
      <c r="I29" s="152">
        <v>2077</v>
      </c>
      <c r="J29" s="152"/>
      <c r="K29" s="179"/>
      <c r="L29" s="182" t="s">
        <v>284</v>
      </c>
      <c r="M29" s="175">
        <f t="shared" si="2"/>
        <v>0</v>
      </c>
      <c r="N29" s="179"/>
      <c r="O29" s="182" t="s">
        <v>284</v>
      </c>
      <c r="P29" s="175">
        <f t="shared" si="3"/>
        <v>0</v>
      </c>
      <c r="Q29" s="179"/>
      <c r="R29" s="182" t="s">
        <v>284</v>
      </c>
      <c r="S29" s="175">
        <f t="shared" si="4"/>
        <v>0</v>
      </c>
      <c r="T29" s="179"/>
      <c r="U29" s="188" t="s">
        <v>284</v>
      </c>
      <c r="V29" s="189">
        <f t="shared" si="5"/>
        <v>0</v>
      </c>
    </row>
    <row r="30" spans="1:22" s="148" customFormat="1" ht="24.75" customHeight="1">
      <c r="A30" s="150" t="s">
        <v>162</v>
      </c>
      <c r="B30" s="1359">
        <f t="shared" si="6"/>
        <v>7900</v>
      </c>
      <c r="C30" s="1360"/>
      <c r="D30" s="1361"/>
      <c r="E30" s="151"/>
      <c r="F30" s="161">
        <v>79</v>
      </c>
      <c r="G30" s="161"/>
      <c r="H30" s="161">
        <v>168</v>
      </c>
      <c r="I30" s="161">
        <v>-575</v>
      </c>
      <c r="J30" s="152">
        <v>800</v>
      </c>
      <c r="K30" s="1356">
        <v>1700</v>
      </c>
      <c r="L30" s="1357"/>
      <c r="M30" s="1358"/>
      <c r="N30" s="1356">
        <v>1900</v>
      </c>
      <c r="O30" s="1357"/>
      <c r="P30" s="1358"/>
      <c r="Q30" s="1356">
        <v>1700</v>
      </c>
      <c r="R30" s="1357"/>
      <c r="S30" s="1358"/>
      <c r="T30" s="1356">
        <v>1800</v>
      </c>
      <c r="U30" s="1357"/>
      <c r="V30" s="1358"/>
    </row>
    <row r="31" spans="1:22" s="159" customFormat="1" ht="24.75" customHeight="1" hidden="1">
      <c r="A31" s="157" t="s">
        <v>160</v>
      </c>
      <c r="B31" s="177">
        <f t="shared" si="6"/>
        <v>0</v>
      </c>
      <c r="C31" s="181" t="s">
        <v>284</v>
      </c>
      <c r="D31" s="174">
        <f t="shared" si="1"/>
        <v>0</v>
      </c>
      <c r="E31" s="158"/>
      <c r="F31" s="152">
        <v>1404</v>
      </c>
      <c r="G31" s="152"/>
      <c r="H31" s="152">
        <v>3360</v>
      </c>
      <c r="I31" s="152">
        <v>3000</v>
      </c>
      <c r="J31" s="152"/>
      <c r="K31" s="179"/>
      <c r="L31" s="182" t="s">
        <v>284</v>
      </c>
      <c r="M31" s="175">
        <f t="shared" si="2"/>
        <v>0</v>
      </c>
      <c r="N31" s="179"/>
      <c r="O31" s="182" t="s">
        <v>284</v>
      </c>
      <c r="P31" s="175">
        <f t="shared" si="3"/>
        <v>0</v>
      </c>
      <c r="Q31" s="179"/>
      <c r="R31" s="182" t="s">
        <v>284</v>
      </c>
      <c r="S31" s="175">
        <f t="shared" si="4"/>
        <v>0</v>
      </c>
      <c r="T31" s="179"/>
      <c r="U31" s="188" t="s">
        <v>284</v>
      </c>
      <c r="V31" s="189">
        <f t="shared" si="5"/>
        <v>0</v>
      </c>
    </row>
    <row r="32" spans="1:22" s="159" customFormat="1" ht="24.75" customHeight="1" hidden="1">
      <c r="A32" s="157" t="s">
        <v>161</v>
      </c>
      <c r="B32" s="177">
        <f t="shared" si="6"/>
        <v>0</v>
      </c>
      <c r="C32" s="181" t="s">
        <v>284</v>
      </c>
      <c r="D32" s="174">
        <f t="shared" si="1"/>
        <v>0</v>
      </c>
      <c r="E32" s="158"/>
      <c r="F32" s="152">
        <v>1325</v>
      </c>
      <c r="G32" s="152"/>
      <c r="H32" s="152">
        <v>3192</v>
      </c>
      <c r="I32" s="152">
        <v>3575</v>
      </c>
      <c r="J32" s="152"/>
      <c r="K32" s="179"/>
      <c r="L32" s="182" t="s">
        <v>284</v>
      </c>
      <c r="M32" s="175">
        <f t="shared" si="2"/>
        <v>0</v>
      </c>
      <c r="N32" s="179"/>
      <c r="O32" s="182" t="s">
        <v>284</v>
      </c>
      <c r="P32" s="175">
        <f t="shared" si="3"/>
        <v>0</v>
      </c>
      <c r="Q32" s="179"/>
      <c r="R32" s="182" t="s">
        <v>284</v>
      </c>
      <c r="S32" s="175">
        <f t="shared" si="4"/>
        <v>0</v>
      </c>
      <c r="T32" s="179"/>
      <c r="U32" s="188" t="s">
        <v>284</v>
      </c>
      <c r="V32" s="189">
        <f t="shared" si="5"/>
        <v>0</v>
      </c>
    </row>
    <row r="33" spans="1:22" s="148" customFormat="1" ht="24.75" customHeight="1" hidden="1">
      <c r="A33" s="150" t="s">
        <v>163</v>
      </c>
      <c r="B33" s="177">
        <f t="shared" si="6"/>
        <v>0</v>
      </c>
      <c r="C33" s="181" t="s">
        <v>284</v>
      </c>
      <c r="D33" s="174">
        <f t="shared" si="1"/>
        <v>0</v>
      </c>
      <c r="E33" s="151"/>
      <c r="F33" s="161">
        <v>6243</v>
      </c>
      <c r="G33" s="161"/>
      <c r="H33" s="161">
        <v>1300</v>
      </c>
      <c r="I33" s="161">
        <v>2000</v>
      </c>
      <c r="J33" s="152"/>
      <c r="K33" s="179"/>
      <c r="L33" s="182" t="s">
        <v>284</v>
      </c>
      <c r="M33" s="175">
        <f t="shared" si="2"/>
        <v>0</v>
      </c>
      <c r="N33" s="179"/>
      <c r="O33" s="182" t="s">
        <v>284</v>
      </c>
      <c r="P33" s="175">
        <f t="shared" si="3"/>
        <v>0</v>
      </c>
      <c r="Q33" s="179"/>
      <c r="R33" s="182" t="s">
        <v>284</v>
      </c>
      <c r="S33" s="175">
        <f t="shared" si="4"/>
        <v>0</v>
      </c>
      <c r="T33" s="179"/>
      <c r="U33" s="188" t="s">
        <v>284</v>
      </c>
      <c r="V33" s="189">
        <f t="shared" si="5"/>
        <v>0</v>
      </c>
    </row>
    <row r="34" spans="1:22" s="148" customFormat="1" ht="24.75" customHeight="1" hidden="1">
      <c r="A34" s="150" t="s">
        <v>164</v>
      </c>
      <c r="B34" s="177">
        <f t="shared" si="6"/>
        <v>0</v>
      </c>
      <c r="C34" s="181" t="s">
        <v>284</v>
      </c>
      <c r="D34" s="174">
        <f t="shared" si="1"/>
        <v>0</v>
      </c>
      <c r="E34" s="151"/>
      <c r="F34" s="161">
        <v>2623</v>
      </c>
      <c r="G34" s="161"/>
      <c r="H34" s="161">
        <v>4800</v>
      </c>
      <c r="I34" s="161">
        <v>2500</v>
      </c>
      <c r="J34" s="152"/>
      <c r="K34" s="179"/>
      <c r="L34" s="182" t="s">
        <v>284</v>
      </c>
      <c r="M34" s="175">
        <f t="shared" si="2"/>
        <v>0</v>
      </c>
      <c r="N34" s="179"/>
      <c r="O34" s="182" t="s">
        <v>284</v>
      </c>
      <c r="P34" s="175">
        <f t="shared" si="3"/>
        <v>0</v>
      </c>
      <c r="Q34" s="179"/>
      <c r="R34" s="182" t="s">
        <v>284</v>
      </c>
      <c r="S34" s="175">
        <f t="shared" si="4"/>
        <v>0</v>
      </c>
      <c r="T34" s="179"/>
      <c r="U34" s="188" t="s">
        <v>284</v>
      </c>
      <c r="V34" s="189">
        <f t="shared" si="5"/>
        <v>0</v>
      </c>
    </row>
    <row r="35" spans="1:22" s="148" customFormat="1" ht="24.75" customHeight="1">
      <c r="A35" s="150" t="s">
        <v>200</v>
      </c>
      <c r="B35" s="1359">
        <f t="shared" si="6"/>
        <v>10400</v>
      </c>
      <c r="C35" s="1360"/>
      <c r="D35" s="1361"/>
      <c r="E35" s="151"/>
      <c r="F35" s="161"/>
      <c r="G35" s="161"/>
      <c r="H35" s="161"/>
      <c r="I35" s="161"/>
      <c r="J35" s="152">
        <v>1200</v>
      </c>
      <c r="K35" s="1356">
        <v>2000</v>
      </c>
      <c r="L35" s="1357"/>
      <c r="M35" s="1358"/>
      <c r="N35" s="1356">
        <v>2200</v>
      </c>
      <c r="O35" s="1357"/>
      <c r="P35" s="1358"/>
      <c r="Q35" s="1356">
        <v>2500</v>
      </c>
      <c r="R35" s="1357"/>
      <c r="S35" s="1358"/>
      <c r="T35" s="1356">
        <v>2500</v>
      </c>
      <c r="U35" s="1357"/>
      <c r="V35" s="1358"/>
    </row>
    <row r="36" spans="1:22" s="159" customFormat="1" ht="15.75" customHeight="1">
      <c r="A36" s="157"/>
      <c r="B36" s="177"/>
      <c r="C36" s="181"/>
      <c r="D36" s="174"/>
      <c r="E36" s="158"/>
      <c r="F36" s="152"/>
      <c r="G36" s="152"/>
      <c r="H36" s="152"/>
      <c r="I36" s="152"/>
      <c r="J36" s="152"/>
      <c r="K36" s="179"/>
      <c r="L36" s="182"/>
      <c r="M36" s="175"/>
      <c r="N36" s="179"/>
      <c r="O36" s="182"/>
      <c r="P36" s="175"/>
      <c r="Q36" s="179"/>
      <c r="R36" s="182"/>
      <c r="S36" s="175"/>
      <c r="T36" s="179"/>
      <c r="U36" s="188"/>
      <c r="V36" s="189"/>
    </row>
    <row r="37" spans="1:22" s="148" customFormat="1" ht="24.75" customHeight="1">
      <c r="A37" s="150" t="s">
        <v>165</v>
      </c>
      <c r="B37" s="1359">
        <f t="shared" si="6"/>
        <v>-12500</v>
      </c>
      <c r="C37" s="1360"/>
      <c r="D37" s="1361"/>
      <c r="E37" s="151"/>
      <c r="F37" s="161">
        <v>-380</v>
      </c>
      <c r="G37" s="161"/>
      <c r="H37" s="161">
        <v>-300</v>
      </c>
      <c r="I37" s="161">
        <v>-300</v>
      </c>
      <c r="J37" s="152">
        <v>-2500</v>
      </c>
      <c r="K37" s="1356">
        <v>-2500</v>
      </c>
      <c r="L37" s="1357"/>
      <c r="M37" s="1358"/>
      <c r="N37" s="1356">
        <v>-2500</v>
      </c>
      <c r="O37" s="1357"/>
      <c r="P37" s="1358"/>
      <c r="Q37" s="1356">
        <v>-2500</v>
      </c>
      <c r="R37" s="1357"/>
      <c r="S37" s="1358"/>
      <c r="T37" s="1356">
        <v>-2500</v>
      </c>
      <c r="U37" s="1357"/>
      <c r="V37" s="1358"/>
    </row>
    <row r="38" spans="1:22" s="159" customFormat="1" ht="15" customHeight="1">
      <c r="A38" s="157"/>
      <c r="B38" s="177"/>
      <c r="C38" s="181"/>
      <c r="D38" s="174"/>
      <c r="E38" s="158"/>
      <c r="F38" s="152"/>
      <c r="G38" s="152"/>
      <c r="H38" s="152"/>
      <c r="I38" s="152"/>
      <c r="J38" s="152"/>
      <c r="K38" s="179"/>
      <c r="L38" s="182"/>
      <c r="M38" s="175"/>
      <c r="N38" s="179"/>
      <c r="O38" s="182"/>
      <c r="P38" s="175"/>
      <c r="Q38" s="179"/>
      <c r="R38" s="182"/>
      <c r="S38" s="175"/>
      <c r="T38" s="179"/>
      <c r="U38" s="188"/>
      <c r="V38" s="189"/>
    </row>
    <row r="39" spans="1:22" s="148" customFormat="1" ht="24.75" customHeight="1">
      <c r="A39" s="168" t="s">
        <v>166</v>
      </c>
      <c r="B39" s="203" t="e">
        <f t="shared" si="6"/>
        <v>#REF!</v>
      </c>
      <c r="C39" s="190" t="s">
        <v>284</v>
      </c>
      <c r="D39" s="202" t="e">
        <f t="shared" si="1"/>
        <v>#REF!</v>
      </c>
      <c r="E39" s="170"/>
      <c r="F39" s="171"/>
      <c r="G39" s="171"/>
      <c r="H39" s="171"/>
      <c r="I39" s="171"/>
      <c r="J39" s="169" t="e">
        <f>+J22+J24+J37</f>
        <v>#REF!</v>
      </c>
      <c r="K39" s="204" t="e">
        <f>+K22+K24+K37</f>
        <v>#REF!</v>
      </c>
      <c r="L39" s="183" t="s">
        <v>284</v>
      </c>
      <c r="M39" s="201" t="e">
        <f t="shared" si="2"/>
        <v>#REF!</v>
      </c>
      <c r="N39" s="204" t="e">
        <f>+N22+N24+N37</f>
        <v>#REF!</v>
      </c>
      <c r="O39" s="183" t="s">
        <v>284</v>
      </c>
      <c r="P39" s="201" t="e">
        <f t="shared" si="3"/>
        <v>#REF!</v>
      </c>
      <c r="Q39" s="204" t="e">
        <f>+Q22+Q24+Q37</f>
        <v>#REF!</v>
      </c>
      <c r="R39" s="183" t="s">
        <v>284</v>
      </c>
      <c r="S39" s="201" t="e">
        <f t="shared" si="4"/>
        <v>#REF!</v>
      </c>
      <c r="T39" s="204" t="e">
        <f>+T22+T24+T37</f>
        <v>#REF!</v>
      </c>
      <c r="U39" s="191" t="s">
        <v>284</v>
      </c>
      <c r="V39" s="201" t="e">
        <f t="shared" si="5"/>
        <v>#REF!</v>
      </c>
    </row>
    <row r="40" spans="1:20" s="172" customFormat="1" ht="36" customHeight="1" hidden="1">
      <c r="A40" s="176" t="s">
        <v>282</v>
      </c>
      <c r="B40" s="176"/>
      <c r="C40" s="176"/>
      <c r="D40" s="176"/>
      <c r="E40" s="176"/>
      <c r="F40" s="176"/>
      <c r="G40" s="176"/>
      <c r="H40" s="176"/>
      <c r="I40" s="176"/>
      <c r="J40" s="185"/>
      <c r="K40" s="176"/>
      <c r="L40" s="186" t="s">
        <v>284</v>
      </c>
      <c r="M40" s="176"/>
      <c r="N40" s="176"/>
      <c r="O40" s="176"/>
      <c r="P40" s="176"/>
      <c r="Q40" s="176"/>
      <c r="R40" s="176"/>
      <c r="S40" s="176"/>
      <c r="T40" s="176"/>
    </row>
    <row r="41" spans="1:20" s="148" customFormat="1" ht="24.75" customHeight="1" hidden="1">
      <c r="A41" s="144" t="s">
        <v>145</v>
      </c>
      <c r="B41" s="145" t="e">
        <f>SUM(J41:T41)</f>
        <v>#REF!</v>
      </c>
      <c r="C41" s="145"/>
      <c r="D41" s="145"/>
      <c r="E41" s="146"/>
      <c r="F41" s="147">
        <f>F42-F43</f>
        <v>-10360</v>
      </c>
      <c r="G41" s="147"/>
      <c r="H41" s="147">
        <f>H42-H43</f>
        <v>-14960</v>
      </c>
      <c r="I41" s="147">
        <f>I42-I43</f>
        <v>-14800</v>
      </c>
      <c r="J41" s="147" t="e">
        <f>+J42-J43</f>
        <v>#REF!</v>
      </c>
      <c r="K41" s="147" t="e">
        <f>+K42-K43</f>
        <v>#REF!</v>
      </c>
      <c r="L41" s="184" t="s">
        <v>284</v>
      </c>
      <c r="M41" s="147"/>
      <c r="N41" s="147" t="e">
        <f>+N42-N43</f>
        <v>#REF!</v>
      </c>
      <c r="O41" s="147"/>
      <c r="P41" s="147"/>
      <c r="Q41" s="147" t="e">
        <f>+Q42-Q43</f>
        <v>#REF!</v>
      </c>
      <c r="R41" s="147"/>
      <c r="S41" s="147"/>
      <c r="T41" s="147" t="e">
        <f>+T42-T43</f>
        <v>#REF!</v>
      </c>
    </row>
    <row r="42" spans="1:20" s="159" customFormat="1" ht="24.75" customHeight="1" hidden="1">
      <c r="A42" s="157" t="s">
        <v>146</v>
      </c>
      <c r="B42" s="149" t="e">
        <f>SUM(J42:T42)</f>
        <v>#REF!</v>
      </c>
      <c r="C42" s="149"/>
      <c r="D42" s="149"/>
      <c r="E42" s="158"/>
      <c r="F42" s="152">
        <v>48561</v>
      </c>
      <c r="G42" s="152"/>
      <c r="H42" s="152">
        <v>64000</v>
      </c>
      <c r="I42" s="152">
        <v>76700</v>
      </c>
      <c r="J42" s="152" t="e">
        <f>+#REF!*1000</f>
        <v>#REF!</v>
      </c>
      <c r="K42" s="152" t="e">
        <f>+#REF!*1000</f>
        <v>#REF!</v>
      </c>
      <c r="L42" s="184" t="s">
        <v>284</v>
      </c>
      <c r="M42" s="152"/>
      <c r="N42" s="152" t="e">
        <f>+#REF!*1000</f>
        <v>#REF!</v>
      </c>
      <c r="O42" s="152"/>
      <c r="P42" s="152"/>
      <c r="Q42" s="152" t="e">
        <f>+#REF!*1000</f>
        <v>#REF!</v>
      </c>
      <c r="R42" s="152"/>
      <c r="S42" s="152"/>
      <c r="T42" s="152" t="e">
        <f>+#REF!*1000</f>
        <v>#REF!</v>
      </c>
    </row>
    <row r="43" spans="1:20" s="159" customFormat="1" ht="24.75" customHeight="1" hidden="1">
      <c r="A43" s="157" t="s">
        <v>147</v>
      </c>
      <c r="B43" s="149" t="e">
        <f>SUM(J43:T43)</f>
        <v>#REF!</v>
      </c>
      <c r="C43" s="149"/>
      <c r="D43" s="149"/>
      <c r="E43" s="158"/>
      <c r="F43" s="152">
        <v>58921</v>
      </c>
      <c r="G43" s="160"/>
      <c r="H43" s="160">
        <v>78960</v>
      </c>
      <c r="I43" s="160">
        <v>91500</v>
      </c>
      <c r="J43" s="152" t="e">
        <f>0.9*J44</f>
        <v>#REF!</v>
      </c>
      <c r="K43" s="152" t="e">
        <f>0.9*K44</f>
        <v>#REF!</v>
      </c>
      <c r="L43" s="184" t="s">
        <v>284</v>
      </c>
      <c r="M43" s="152"/>
      <c r="N43" s="152" t="e">
        <f>0.9*N44</f>
        <v>#REF!</v>
      </c>
      <c r="O43" s="152"/>
      <c r="P43" s="152"/>
      <c r="Q43" s="152" t="e">
        <f>0.9*Q44</f>
        <v>#REF!</v>
      </c>
      <c r="R43" s="152"/>
      <c r="S43" s="152"/>
      <c r="T43" s="152" t="e">
        <f>0.9*T44</f>
        <v>#REF!</v>
      </c>
    </row>
    <row r="44" spans="1:20" s="159" customFormat="1" ht="24.75" customHeight="1" hidden="1">
      <c r="A44" s="157" t="s">
        <v>148</v>
      </c>
      <c r="B44" s="149" t="e">
        <f>SUM(J44:T44)</f>
        <v>#REF!</v>
      </c>
      <c r="C44" s="149"/>
      <c r="D44" s="149"/>
      <c r="E44" s="158"/>
      <c r="F44" s="152">
        <v>62682</v>
      </c>
      <c r="G44" s="160"/>
      <c r="H44" s="160">
        <v>84000</v>
      </c>
      <c r="I44" s="160">
        <v>97400</v>
      </c>
      <c r="J44" s="152" t="e">
        <f>+#REF!*1000</f>
        <v>#REF!</v>
      </c>
      <c r="K44" s="152" t="e">
        <f>+#REF!*1000</f>
        <v>#REF!</v>
      </c>
      <c r="L44" s="184" t="s">
        <v>284</v>
      </c>
      <c r="M44" s="152"/>
      <c r="N44" s="152" t="e">
        <f>+#REF!*1000</f>
        <v>#REF!</v>
      </c>
      <c r="O44" s="152"/>
      <c r="P44" s="152"/>
      <c r="Q44" s="152" t="e">
        <f>+#REF!*1000</f>
        <v>#REF!</v>
      </c>
      <c r="R44" s="152"/>
      <c r="S44" s="152"/>
      <c r="T44" s="152" t="e">
        <f>+#REF!*1000</f>
        <v>#REF!</v>
      </c>
    </row>
    <row r="45" spans="1:20" s="159" customFormat="1" ht="15" customHeight="1" hidden="1">
      <c r="A45" s="157"/>
      <c r="B45" s="158"/>
      <c r="C45" s="158"/>
      <c r="D45" s="158"/>
      <c r="E45" s="158"/>
      <c r="F45" s="152"/>
      <c r="G45" s="152"/>
      <c r="H45" s="152"/>
      <c r="I45" s="152"/>
      <c r="J45" s="152"/>
      <c r="K45" s="152"/>
      <c r="L45" s="184" t="s">
        <v>284</v>
      </c>
      <c r="M45" s="152"/>
      <c r="N45" s="152"/>
      <c r="O45" s="152"/>
      <c r="P45" s="152"/>
      <c r="Q45" s="152"/>
      <c r="R45" s="152"/>
      <c r="S45" s="152"/>
      <c r="T45" s="152"/>
    </row>
    <row r="46" spans="1:20" s="148" customFormat="1" ht="35.25" customHeight="1" hidden="1">
      <c r="A46" s="150" t="s">
        <v>149</v>
      </c>
      <c r="B46" s="149">
        <f>+SUM(J46:T46)</f>
        <v>-11500</v>
      </c>
      <c r="C46" s="149"/>
      <c r="D46" s="149"/>
      <c r="E46" s="151"/>
      <c r="F46" s="161">
        <f>F47-F48</f>
        <v>-894</v>
      </c>
      <c r="G46" s="161"/>
      <c r="H46" s="161">
        <v>-1300</v>
      </c>
      <c r="I46" s="161">
        <v>-1391</v>
      </c>
      <c r="J46" s="152">
        <v>-3000</v>
      </c>
      <c r="K46" s="152">
        <v>-1500</v>
      </c>
      <c r="L46" s="184" t="s">
        <v>284</v>
      </c>
      <c r="M46" s="152"/>
      <c r="N46" s="152">
        <v>-2000</v>
      </c>
      <c r="O46" s="152"/>
      <c r="P46" s="152"/>
      <c r="Q46" s="152">
        <v>-2500</v>
      </c>
      <c r="R46" s="152"/>
      <c r="S46" s="152"/>
      <c r="T46" s="152">
        <v>-2500</v>
      </c>
    </row>
    <row r="47" spans="1:20" s="159" customFormat="1" ht="24.75" customHeight="1" hidden="1">
      <c r="A47" s="157" t="s">
        <v>150</v>
      </c>
      <c r="B47" s="149">
        <f aca="true" t="shared" si="7" ref="B47:B73">+SUM(J47:T47)</f>
        <v>0</v>
      </c>
      <c r="C47" s="149"/>
      <c r="D47" s="149"/>
      <c r="E47" s="158"/>
      <c r="F47" s="152">
        <v>6030</v>
      </c>
      <c r="G47" s="152"/>
      <c r="H47" s="152">
        <v>7055</v>
      </c>
      <c r="I47" s="152">
        <v>7549</v>
      </c>
      <c r="J47" s="152"/>
      <c r="K47" s="152"/>
      <c r="L47" s="184" t="s">
        <v>284</v>
      </c>
      <c r="M47" s="152"/>
      <c r="N47" s="152"/>
      <c r="O47" s="152"/>
      <c r="P47" s="152"/>
      <c r="Q47" s="152"/>
      <c r="R47" s="152"/>
      <c r="S47" s="152"/>
      <c r="T47" s="152"/>
    </row>
    <row r="48" spans="1:20" s="159" customFormat="1" ht="24.75" customHeight="1" hidden="1">
      <c r="A48" s="157" t="s">
        <v>151</v>
      </c>
      <c r="B48" s="149">
        <f t="shared" si="7"/>
        <v>0</v>
      </c>
      <c r="C48" s="149"/>
      <c r="D48" s="149"/>
      <c r="E48" s="158"/>
      <c r="F48" s="152">
        <v>6924</v>
      </c>
      <c r="G48" s="152"/>
      <c r="H48" s="152">
        <v>8355</v>
      </c>
      <c r="I48" s="152">
        <v>8940</v>
      </c>
      <c r="J48" s="152"/>
      <c r="K48" s="152"/>
      <c r="L48" s="184" t="s">
        <v>284</v>
      </c>
      <c r="M48" s="152"/>
      <c r="N48" s="152"/>
      <c r="O48" s="152"/>
      <c r="P48" s="152"/>
      <c r="Q48" s="152"/>
      <c r="R48" s="152"/>
      <c r="S48" s="152"/>
      <c r="T48" s="152"/>
    </row>
    <row r="49" spans="1:20" s="148" customFormat="1" ht="33.75" customHeight="1" hidden="1">
      <c r="A49" s="150" t="s">
        <v>152</v>
      </c>
      <c r="B49" s="149">
        <f t="shared" si="7"/>
        <v>-34086</v>
      </c>
      <c r="C49" s="149"/>
      <c r="D49" s="149"/>
      <c r="E49" s="151"/>
      <c r="F49" s="161">
        <f>F50-F51</f>
        <v>-2168</v>
      </c>
      <c r="G49" s="161"/>
      <c r="H49" s="161">
        <f>H50-H51</f>
        <v>-2432</v>
      </c>
      <c r="I49" s="161">
        <f>I50-I51</f>
        <v>-2602</v>
      </c>
      <c r="J49" s="152">
        <v>-5124</v>
      </c>
      <c r="K49" s="152">
        <v>-6950</v>
      </c>
      <c r="L49" s="184" t="s">
        <v>284</v>
      </c>
      <c r="M49" s="152"/>
      <c r="N49" s="152">
        <v>-6452</v>
      </c>
      <c r="O49" s="152"/>
      <c r="P49" s="152"/>
      <c r="Q49" s="152">
        <v>-7109</v>
      </c>
      <c r="R49" s="152"/>
      <c r="S49" s="152"/>
      <c r="T49" s="152">
        <v>-8451</v>
      </c>
    </row>
    <row r="50" spans="1:20" s="159" customFormat="1" ht="24.75" customHeight="1" hidden="1">
      <c r="A50" s="157" t="s">
        <v>150</v>
      </c>
      <c r="B50" s="149">
        <f t="shared" si="7"/>
        <v>0</v>
      </c>
      <c r="C50" s="149"/>
      <c r="D50" s="149"/>
      <c r="E50" s="158"/>
      <c r="F50" s="152">
        <v>1093</v>
      </c>
      <c r="G50" s="152"/>
      <c r="H50" s="152">
        <v>1268</v>
      </c>
      <c r="I50" s="152">
        <v>1357</v>
      </c>
      <c r="J50" s="152"/>
      <c r="K50" s="152"/>
      <c r="L50" s="184" t="s">
        <v>284</v>
      </c>
      <c r="M50" s="152"/>
      <c r="N50" s="152"/>
      <c r="O50" s="152"/>
      <c r="P50" s="152"/>
      <c r="Q50" s="152"/>
      <c r="R50" s="152"/>
      <c r="S50" s="152"/>
      <c r="T50" s="152"/>
    </row>
    <row r="51" spans="1:20" s="159" customFormat="1" ht="24.75" customHeight="1" hidden="1">
      <c r="A51" s="157" t="s">
        <v>151</v>
      </c>
      <c r="B51" s="149">
        <f t="shared" si="7"/>
        <v>0</v>
      </c>
      <c r="C51" s="149"/>
      <c r="D51" s="149"/>
      <c r="E51" s="158"/>
      <c r="F51" s="152">
        <v>3261</v>
      </c>
      <c r="G51" s="152"/>
      <c r="H51" s="152">
        <v>3700</v>
      </c>
      <c r="I51" s="152">
        <v>3959</v>
      </c>
      <c r="J51" s="152"/>
      <c r="K51" s="152"/>
      <c r="L51" s="184" t="s">
        <v>284</v>
      </c>
      <c r="M51" s="152"/>
      <c r="N51" s="152"/>
      <c r="O51" s="152"/>
      <c r="P51" s="152"/>
      <c r="Q51" s="152"/>
      <c r="R51" s="152"/>
      <c r="S51" s="152"/>
      <c r="T51" s="152"/>
    </row>
    <row r="52" spans="1:20" s="148" customFormat="1" ht="32.25" customHeight="1" hidden="1">
      <c r="A52" s="150" t="s">
        <v>153</v>
      </c>
      <c r="B52" s="149">
        <f t="shared" si="7"/>
        <v>32038</v>
      </c>
      <c r="C52" s="149"/>
      <c r="D52" s="149"/>
      <c r="E52" s="151"/>
      <c r="F52" s="161">
        <v>6430</v>
      </c>
      <c r="G52" s="161"/>
      <c r="H52" s="161">
        <v>7257</v>
      </c>
      <c r="I52" s="161">
        <v>8100</v>
      </c>
      <c r="J52" s="152">
        <v>6500</v>
      </c>
      <c r="K52" s="152">
        <v>5700</v>
      </c>
      <c r="L52" s="184" t="s">
        <v>284</v>
      </c>
      <c r="M52" s="152"/>
      <c r="N52" s="152">
        <v>6270</v>
      </c>
      <c r="O52" s="152"/>
      <c r="P52" s="152"/>
      <c r="Q52" s="152">
        <v>6717</v>
      </c>
      <c r="R52" s="152"/>
      <c r="S52" s="152"/>
      <c r="T52" s="152">
        <v>6851</v>
      </c>
    </row>
    <row r="53" spans="1:20" s="159" customFormat="1" ht="24.75" customHeight="1" hidden="1">
      <c r="A53" s="157" t="s">
        <v>154</v>
      </c>
      <c r="B53" s="149">
        <f t="shared" si="7"/>
        <v>0</v>
      </c>
      <c r="C53" s="149"/>
      <c r="D53" s="149"/>
      <c r="E53" s="158"/>
      <c r="F53" s="152">
        <v>250</v>
      </c>
      <c r="G53" s="152"/>
      <c r="H53" s="152">
        <v>257</v>
      </c>
      <c r="I53" s="152">
        <v>260</v>
      </c>
      <c r="J53" s="152"/>
      <c r="K53" s="152"/>
      <c r="L53" s="184" t="s">
        <v>284</v>
      </c>
      <c r="M53" s="152"/>
      <c r="N53" s="152"/>
      <c r="O53" s="152"/>
      <c r="P53" s="152"/>
      <c r="Q53" s="152"/>
      <c r="R53" s="152"/>
      <c r="S53" s="152"/>
      <c r="T53" s="152"/>
    </row>
    <row r="54" spans="1:20" s="159" customFormat="1" ht="24.75" customHeight="1" hidden="1">
      <c r="A54" s="157" t="s">
        <v>155</v>
      </c>
      <c r="B54" s="149">
        <f t="shared" si="7"/>
        <v>0</v>
      </c>
      <c r="C54" s="149"/>
      <c r="D54" s="149"/>
      <c r="E54" s="158"/>
      <c r="F54" s="152">
        <v>6180</v>
      </c>
      <c r="G54" s="152"/>
      <c r="H54" s="152">
        <v>7000</v>
      </c>
      <c r="I54" s="152">
        <v>7840</v>
      </c>
      <c r="J54" s="152"/>
      <c r="K54" s="152"/>
      <c r="L54" s="184" t="s">
        <v>284</v>
      </c>
      <c r="M54" s="152"/>
      <c r="N54" s="152"/>
      <c r="O54" s="152"/>
      <c r="P54" s="152"/>
      <c r="Q54" s="152"/>
      <c r="R54" s="152"/>
      <c r="S54" s="152"/>
      <c r="T54" s="152"/>
    </row>
    <row r="55" spans="1:20" s="159" customFormat="1" ht="12" customHeight="1" hidden="1">
      <c r="A55" s="157"/>
      <c r="B55" s="149"/>
      <c r="C55" s="149"/>
      <c r="D55" s="149"/>
      <c r="E55" s="158"/>
      <c r="F55" s="152"/>
      <c r="G55" s="152"/>
      <c r="H55" s="152"/>
      <c r="I55" s="152"/>
      <c r="J55" s="152"/>
      <c r="K55" s="152"/>
      <c r="L55" s="184" t="s">
        <v>284</v>
      </c>
      <c r="M55" s="152"/>
      <c r="N55" s="152"/>
      <c r="O55" s="152"/>
      <c r="P55" s="152"/>
      <c r="Q55" s="152"/>
      <c r="R55" s="152"/>
      <c r="S55" s="152"/>
      <c r="T55" s="152"/>
    </row>
    <row r="56" spans="1:20" s="148" customFormat="1" ht="24.75" customHeight="1" hidden="1">
      <c r="A56" s="153" t="s">
        <v>156</v>
      </c>
      <c r="B56" s="149" t="e">
        <f t="shared" si="7"/>
        <v>#REF!</v>
      </c>
      <c r="C56" s="149"/>
      <c r="D56" s="149"/>
      <c r="E56" s="154"/>
      <c r="F56" s="161">
        <v>-6992</v>
      </c>
      <c r="G56" s="161"/>
      <c r="H56" s="161">
        <v>-11435</v>
      </c>
      <c r="I56" s="161">
        <v>-10690</v>
      </c>
      <c r="J56" s="152" t="e">
        <f>+J41+J46+J49+J52</f>
        <v>#REF!</v>
      </c>
      <c r="K56" s="152" t="e">
        <f>+K41+K46+K49+K52</f>
        <v>#REF!</v>
      </c>
      <c r="L56" s="184" t="s">
        <v>284</v>
      </c>
      <c r="M56" s="152"/>
      <c r="N56" s="152" t="e">
        <f>+N41+N46+N49+N52</f>
        <v>#REF!</v>
      </c>
      <c r="O56" s="152"/>
      <c r="P56" s="152"/>
      <c r="Q56" s="152" t="e">
        <f>+Q41+Q46+Q49+Q52</f>
        <v>#REF!</v>
      </c>
      <c r="R56" s="152"/>
      <c r="S56" s="152"/>
      <c r="T56" s="152" t="e">
        <f>+T41+T46+T49+T52</f>
        <v>#REF!</v>
      </c>
    </row>
    <row r="57" spans="1:20" s="159" customFormat="1" ht="12.75" customHeight="1" hidden="1">
      <c r="A57" s="157"/>
      <c r="B57" s="149"/>
      <c r="C57" s="149"/>
      <c r="D57" s="149"/>
      <c r="E57" s="158"/>
      <c r="F57" s="152"/>
      <c r="G57" s="152"/>
      <c r="H57" s="152"/>
      <c r="I57" s="152"/>
      <c r="J57" s="152"/>
      <c r="K57" s="152"/>
      <c r="L57" s="184" t="s">
        <v>284</v>
      </c>
      <c r="M57" s="152"/>
      <c r="N57" s="152"/>
      <c r="O57" s="152"/>
      <c r="P57" s="152"/>
      <c r="Q57" s="152"/>
      <c r="R57" s="152"/>
      <c r="S57" s="152"/>
      <c r="T57" s="152"/>
    </row>
    <row r="58" spans="1:20" s="159" customFormat="1" ht="24.75" customHeight="1" hidden="1">
      <c r="A58" s="153" t="s">
        <v>157</v>
      </c>
      <c r="B58" s="149" t="e">
        <f t="shared" si="7"/>
        <v>#REF!</v>
      </c>
      <c r="C58" s="149"/>
      <c r="D58" s="149"/>
      <c r="E58" s="158"/>
      <c r="F58" s="152"/>
      <c r="G58" s="152"/>
      <c r="H58" s="152"/>
      <c r="I58" s="152"/>
      <c r="J58" s="152" t="e">
        <f>+J60+J61+J64+J69-3600</f>
        <v>#REF!</v>
      </c>
      <c r="K58" s="152" t="e">
        <f>+K60+K61+K64+K69-3600</f>
        <v>#REF!</v>
      </c>
      <c r="L58" s="184" t="s">
        <v>284</v>
      </c>
      <c r="M58" s="152"/>
      <c r="N58" s="152" t="e">
        <f>+N60+N61+N64+N69-3600</f>
        <v>#REF!</v>
      </c>
      <c r="O58" s="152"/>
      <c r="P58" s="152"/>
      <c r="Q58" s="152" t="e">
        <f>+Q60+Q61+Q64+Q69-3600</f>
        <v>#REF!</v>
      </c>
      <c r="R58" s="152"/>
      <c r="S58" s="152"/>
      <c r="T58" s="152" t="e">
        <f>+T60+T61+T64+T69-3600</f>
        <v>#REF!</v>
      </c>
    </row>
    <row r="59" spans="1:20" s="159" customFormat="1" ht="15.75" customHeight="1" hidden="1">
      <c r="A59" s="157"/>
      <c r="B59" s="149"/>
      <c r="C59" s="149"/>
      <c r="D59" s="149"/>
      <c r="E59" s="158"/>
      <c r="F59" s="152"/>
      <c r="G59" s="152"/>
      <c r="H59" s="152"/>
      <c r="I59" s="152"/>
      <c r="J59" s="152"/>
      <c r="K59" s="152"/>
      <c r="L59" s="184" t="s">
        <v>284</v>
      </c>
      <c r="M59" s="152"/>
      <c r="N59" s="152"/>
      <c r="O59" s="152"/>
      <c r="P59" s="152"/>
      <c r="Q59" s="152"/>
      <c r="R59" s="152"/>
      <c r="S59" s="152"/>
      <c r="T59" s="152"/>
    </row>
    <row r="60" spans="1:20" s="148" customFormat="1" ht="24.75" customHeight="1" hidden="1">
      <c r="A60" s="150" t="s">
        <v>158</v>
      </c>
      <c r="B60" s="152" t="e">
        <f t="shared" si="7"/>
        <v>#REF!</v>
      </c>
      <c r="C60" s="152"/>
      <c r="D60" s="152"/>
      <c r="E60" s="151"/>
      <c r="F60" s="161"/>
      <c r="G60" s="161"/>
      <c r="H60" s="161"/>
      <c r="I60" s="161"/>
      <c r="J60" s="152" t="e">
        <f>+'BM12-DTNN'!#REF!*1000-900</f>
        <v>#REF!</v>
      </c>
      <c r="K60" s="152" t="e">
        <f>+'BM12-DTNN'!#REF!*1000-100</f>
        <v>#REF!</v>
      </c>
      <c r="L60" s="184" t="s">
        <v>284</v>
      </c>
      <c r="M60" s="152"/>
      <c r="N60" s="152" t="e">
        <f>+'BM12-DTNN'!#REF!*1000-1000</f>
        <v>#REF!</v>
      </c>
      <c r="O60" s="152"/>
      <c r="P60" s="152"/>
      <c r="Q60" s="152" t="e">
        <f>+'BM12-DTNN'!#REF!*1000-1100</f>
        <v>#REF!</v>
      </c>
      <c r="R60" s="152"/>
      <c r="S60" s="152"/>
      <c r="T60" s="152" t="e">
        <f>+'BM12-DTNN'!#REF!*1000-1200</f>
        <v>#REF!</v>
      </c>
    </row>
    <row r="61" spans="1:20" s="148" customFormat="1" ht="24.75" customHeight="1" hidden="1">
      <c r="A61" s="150" t="s">
        <v>159</v>
      </c>
      <c r="B61" s="149">
        <f t="shared" si="7"/>
        <v>13505</v>
      </c>
      <c r="C61" s="149"/>
      <c r="D61" s="149"/>
      <c r="E61" s="151"/>
      <c r="F61" s="161">
        <v>2045</v>
      </c>
      <c r="G61" s="161"/>
      <c r="H61" s="161">
        <v>964</v>
      </c>
      <c r="I61" s="161">
        <v>562</v>
      </c>
      <c r="J61" s="152">
        <v>2000</v>
      </c>
      <c r="K61" s="152">
        <v>2730</v>
      </c>
      <c r="L61" s="184" t="s">
        <v>284</v>
      </c>
      <c r="M61" s="152"/>
      <c r="N61" s="152">
        <v>2839</v>
      </c>
      <c r="O61" s="152"/>
      <c r="P61" s="152"/>
      <c r="Q61" s="152">
        <v>2924</v>
      </c>
      <c r="R61" s="152"/>
      <c r="S61" s="152"/>
      <c r="T61" s="152">
        <v>3012</v>
      </c>
    </row>
    <row r="62" spans="1:20" s="159" customFormat="1" ht="24.75" customHeight="1" hidden="1">
      <c r="A62" s="157" t="s">
        <v>160</v>
      </c>
      <c r="B62" s="149">
        <f t="shared" si="7"/>
        <v>0</v>
      </c>
      <c r="C62" s="149"/>
      <c r="D62" s="149"/>
      <c r="E62" s="158"/>
      <c r="F62" s="152">
        <v>3397</v>
      </c>
      <c r="G62" s="152"/>
      <c r="H62" s="152">
        <v>2562</v>
      </c>
      <c r="I62" s="152">
        <v>2639</v>
      </c>
      <c r="J62" s="152"/>
      <c r="K62" s="152"/>
      <c r="L62" s="184" t="s">
        <v>284</v>
      </c>
      <c r="M62" s="152"/>
      <c r="N62" s="152"/>
      <c r="O62" s="152"/>
      <c r="P62" s="152"/>
      <c r="Q62" s="152"/>
      <c r="R62" s="152"/>
      <c r="S62" s="152"/>
      <c r="T62" s="152"/>
    </row>
    <row r="63" spans="1:20" s="159" customFormat="1" ht="24.75" customHeight="1" hidden="1">
      <c r="A63" s="157" t="s">
        <v>161</v>
      </c>
      <c r="B63" s="149">
        <f t="shared" si="7"/>
        <v>0</v>
      </c>
      <c r="C63" s="149"/>
      <c r="D63" s="149"/>
      <c r="E63" s="158"/>
      <c r="F63" s="152">
        <v>1352</v>
      </c>
      <c r="G63" s="152"/>
      <c r="H63" s="152">
        <v>1598</v>
      </c>
      <c r="I63" s="152">
        <v>2077</v>
      </c>
      <c r="J63" s="152"/>
      <c r="K63" s="152"/>
      <c r="L63" s="184" t="s">
        <v>284</v>
      </c>
      <c r="M63" s="152"/>
      <c r="N63" s="152"/>
      <c r="O63" s="152"/>
      <c r="P63" s="152"/>
      <c r="Q63" s="152"/>
      <c r="R63" s="152"/>
      <c r="S63" s="152"/>
      <c r="T63" s="152"/>
    </row>
    <row r="64" spans="1:20" s="148" customFormat="1" ht="24.75" customHeight="1" hidden="1">
      <c r="A64" s="150" t="s">
        <v>162</v>
      </c>
      <c r="B64" s="149">
        <f t="shared" si="7"/>
        <v>7900</v>
      </c>
      <c r="C64" s="149"/>
      <c r="D64" s="149"/>
      <c r="E64" s="151"/>
      <c r="F64" s="161">
        <v>79</v>
      </c>
      <c r="G64" s="161"/>
      <c r="H64" s="161">
        <v>168</v>
      </c>
      <c r="I64" s="161">
        <v>-575</v>
      </c>
      <c r="J64" s="152">
        <v>800</v>
      </c>
      <c r="K64" s="152">
        <v>1700</v>
      </c>
      <c r="L64" s="184" t="s">
        <v>284</v>
      </c>
      <c r="M64" s="152"/>
      <c r="N64" s="152">
        <v>1900</v>
      </c>
      <c r="O64" s="152"/>
      <c r="P64" s="152"/>
      <c r="Q64" s="152">
        <v>1700</v>
      </c>
      <c r="R64" s="152"/>
      <c r="S64" s="152"/>
      <c r="T64" s="152">
        <v>1800</v>
      </c>
    </row>
    <row r="65" spans="1:20" s="159" customFormat="1" ht="24.75" customHeight="1" hidden="1">
      <c r="A65" s="157" t="s">
        <v>160</v>
      </c>
      <c r="B65" s="149">
        <f t="shared" si="7"/>
        <v>0</v>
      </c>
      <c r="C65" s="149"/>
      <c r="D65" s="149"/>
      <c r="E65" s="158"/>
      <c r="F65" s="152">
        <v>1404</v>
      </c>
      <c r="G65" s="152"/>
      <c r="H65" s="152">
        <v>3360</v>
      </c>
      <c r="I65" s="152">
        <v>3000</v>
      </c>
      <c r="J65" s="152"/>
      <c r="K65" s="152"/>
      <c r="L65" s="184" t="s">
        <v>284</v>
      </c>
      <c r="M65" s="152"/>
      <c r="N65" s="152"/>
      <c r="O65" s="152"/>
      <c r="P65" s="152"/>
      <c r="Q65" s="152"/>
      <c r="R65" s="152"/>
      <c r="S65" s="152"/>
      <c r="T65" s="152"/>
    </row>
    <row r="66" spans="1:20" s="159" customFormat="1" ht="24.75" customHeight="1" hidden="1">
      <c r="A66" s="157" t="s">
        <v>161</v>
      </c>
      <c r="B66" s="149">
        <f t="shared" si="7"/>
        <v>0</v>
      </c>
      <c r="C66" s="149"/>
      <c r="D66" s="149"/>
      <c r="E66" s="158"/>
      <c r="F66" s="152">
        <v>1325</v>
      </c>
      <c r="G66" s="152"/>
      <c r="H66" s="152">
        <v>3192</v>
      </c>
      <c r="I66" s="152">
        <v>3575</v>
      </c>
      <c r="J66" s="152"/>
      <c r="K66" s="152"/>
      <c r="L66" s="184" t="s">
        <v>284</v>
      </c>
      <c r="M66" s="152"/>
      <c r="N66" s="152"/>
      <c r="O66" s="152"/>
      <c r="P66" s="152"/>
      <c r="Q66" s="152"/>
      <c r="R66" s="152"/>
      <c r="S66" s="152"/>
      <c r="T66" s="152"/>
    </row>
    <row r="67" spans="1:20" s="148" customFormat="1" ht="24.75" customHeight="1" hidden="1">
      <c r="A67" s="150" t="s">
        <v>163</v>
      </c>
      <c r="B67" s="149">
        <f t="shared" si="7"/>
        <v>0</v>
      </c>
      <c r="C67" s="149"/>
      <c r="D67" s="149"/>
      <c r="E67" s="151"/>
      <c r="F67" s="161">
        <v>6243</v>
      </c>
      <c r="G67" s="161"/>
      <c r="H67" s="161">
        <v>1300</v>
      </c>
      <c r="I67" s="161">
        <v>2000</v>
      </c>
      <c r="J67" s="152"/>
      <c r="K67" s="152"/>
      <c r="L67" s="184" t="s">
        <v>284</v>
      </c>
      <c r="M67" s="152"/>
      <c r="N67" s="152"/>
      <c r="O67" s="152"/>
      <c r="P67" s="152"/>
      <c r="Q67" s="152"/>
      <c r="R67" s="152"/>
      <c r="S67" s="152"/>
      <c r="T67" s="152"/>
    </row>
    <row r="68" spans="1:20" s="148" customFormat="1" ht="24.75" customHeight="1" hidden="1">
      <c r="A68" s="150" t="s">
        <v>164</v>
      </c>
      <c r="B68" s="149">
        <f t="shared" si="7"/>
        <v>0</v>
      </c>
      <c r="C68" s="149"/>
      <c r="D68" s="149"/>
      <c r="E68" s="151"/>
      <c r="F68" s="161">
        <v>2623</v>
      </c>
      <c r="G68" s="161"/>
      <c r="H68" s="161">
        <v>4800</v>
      </c>
      <c r="I68" s="161">
        <v>2500</v>
      </c>
      <c r="J68" s="152"/>
      <c r="K68" s="152"/>
      <c r="L68" s="184" t="s">
        <v>284</v>
      </c>
      <c r="M68" s="152"/>
      <c r="N68" s="152"/>
      <c r="O68" s="152"/>
      <c r="P68" s="152"/>
      <c r="Q68" s="152"/>
      <c r="R68" s="152"/>
      <c r="S68" s="152"/>
      <c r="T68" s="152"/>
    </row>
    <row r="69" spans="1:20" s="148" customFormat="1" ht="24.75" customHeight="1" hidden="1">
      <c r="A69" s="150" t="s">
        <v>200</v>
      </c>
      <c r="B69" s="149">
        <f t="shared" si="7"/>
        <v>10400</v>
      </c>
      <c r="C69" s="149"/>
      <c r="D69" s="149"/>
      <c r="E69" s="151"/>
      <c r="F69" s="161"/>
      <c r="G69" s="161"/>
      <c r="H69" s="161"/>
      <c r="I69" s="161"/>
      <c r="J69" s="152">
        <v>1200</v>
      </c>
      <c r="K69" s="152">
        <v>2000</v>
      </c>
      <c r="L69" s="184" t="s">
        <v>284</v>
      </c>
      <c r="M69" s="152"/>
      <c r="N69" s="152">
        <v>2200</v>
      </c>
      <c r="O69" s="152"/>
      <c r="P69" s="152"/>
      <c r="Q69" s="152">
        <v>2500</v>
      </c>
      <c r="R69" s="152"/>
      <c r="S69" s="152"/>
      <c r="T69" s="152">
        <v>2500</v>
      </c>
    </row>
    <row r="70" spans="1:20" s="159" customFormat="1" ht="15.75" customHeight="1" hidden="1">
      <c r="A70" s="157"/>
      <c r="B70" s="149"/>
      <c r="C70" s="149"/>
      <c r="D70" s="149"/>
      <c r="E70" s="158"/>
      <c r="F70" s="152"/>
      <c r="G70" s="152"/>
      <c r="H70" s="152"/>
      <c r="I70" s="152"/>
      <c r="J70" s="152"/>
      <c r="K70" s="152"/>
      <c r="L70" s="184" t="s">
        <v>284</v>
      </c>
      <c r="M70" s="152"/>
      <c r="N70" s="152"/>
      <c r="O70" s="152"/>
      <c r="P70" s="152"/>
      <c r="Q70" s="152"/>
      <c r="R70" s="152"/>
      <c r="S70" s="152"/>
      <c r="T70" s="152"/>
    </row>
    <row r="71" spans="1:20" s="148" customFormat="1" ht="24.75" customHeight="1" hidden="1">
      <c r="A71" s="150" t="s">
        <v>165</v>
      </c>
      <c r="B71" s="149">
        <f t="shared" si="7"/>
        <v>-12500</v>
      </c>
      <c r="C71" s="149"/>
      <c r="D71" s="149"/>
      <c r="E71" s="151"/>
      <c r="F71" s="161">
        <v>-380</v>
      </c>
      <c r="G71" s="161"/>
      <c r="H71" s="161">
        <v>-300</v>
      </c>
      <c r="I71" s="161">
        <v>-300</v>
      </c>
      <c r="J71" s="152">
        <v>-2500</v>
      </c>
      <c r="K71" s="152">
        <v>-2500</v>
      </c>
      <c r="L71" s="184" t="s">
        <v>284</v>
      </c>
      <c r="M71" s="152"/>
      <c r="N71" s="152">
        <v>-2500</v>
      </c>
      <c r="O71" s="152"/>
      <c r="P71" s="152"/>
      <c r="Q71" s="152">
        <v>-2500</v>
      </c>
      <c r="R71" s="152"/>
      <c r="S71" s="152"/>
      <c r="T71" s="152">
        <v>-2500</v>
      </c>
    </row>
    <row r="72" spans="1:20" s="159" customFormat="1" ht="15" customHeight="1" hidden="1">
      <c r="A72" s="157"/>
      <c r="B72" s="149"/>
      <c r="C72" s="149"/>
      <c r="D72" s="149"/>
      <c r="E72" s="158"/>
      <c r="F72" s="152"/>
      <c r="G72" s="152"/>
      <c r="H72" s="152"/>
      <c r="I72" s="152"/>
      <c r="J72" s="152"/>
      <c r="K72" s="152"/>
      <c r="L72" s="184" t="s">
        <v>284</v>
      </c>
      <c r="M72" s="152"/>
      <c r="N72" s="152"/>
      <c r="O72" s="152"/>
      <c r="P72" s="152"/>
      <c r="Q72" s="152"/>
      <c r="R72" s="152"/>
      <c r="S72" s="152"/>
      <c r="T72" s="152"/>
    </row>
    <row r="73" spans="1:20" s="148" customFormat="1" ht="24.75" customHeight="1" hidden="1">
      <c r="A73" s="153" t="s">
        <v>166</v>
      </c>
      <c r="B73" s="152" t="e">
        <f t="shared" si="7"/>
        <v>#REF!</v>
      </c>
      <c r="C73" s="152"/>
      <c r="D73" s="152"/>
      <c r="E73" s="151"/>
      <c r="F73" s="161"/>
      <c r="G73" s="161"/>
      <c r="H73" s="161"/>
      <c r="I73" s="161"/>
      <c r="J73" s="152" t="e">
        <f>+J56+J58+J71</f>
        <v>#REF!</v>
      </c>
      <c r="K73" s="152" t="e">
        <f>+K56+K58+K71</f>
        <v>#REF!</v>
      </c>
      <c r="L73" s="184" t="s">
        <v>284</v>
      </c>
      <c r="M73" s="152"/>
      <c r="N73" s="152" t="e">
        <f>+N56+N58+N71</f>
        <v>#REF!</v>
      </c>
      <c r="O73" s="152"/>
      <c r="P73" s="152"/>
      <c r="Q73" s="152" t="e">
        <f>+Q56+Q58+Q71</f>
        <v>#REF!</v>
      </c>
      <c r="R73" s="152"/>
      <c r="S73" s="152"/>
      <c r="T73" s="152" t="e">
        <f>+T56+T58+T71</f>
        <v>#REF!</v>
      </c>
    </row>
    <row r="74" spans="1:20" ht="16.5" hidden="1">
      <c r="A74" s="162"/>
      <c r="B74" s="162"/>
      <c r="C74" s="162"/>
      <c r="D74" s="162"/>
      <c r="E74" s="162"/>
      <c r="F74" s="162"/>
      <c r="G74" s="162"/>
      <c r="H74" s="162"/>
      <c r="I74" s="162"/>
      <c r="J74" s="162"/>
      <c r="K74" s="162"/>
      <c r="L74" s="184" t="s">
        <v>284</v>
      </c>
      <c r="M74" s="162"/>
      <c r="N74" s="162"/>
      <c r="O74" s="162"/>
      <c r="P74" s="162"/>
      <c r="Q74" s="162"/>
      <c r="R74" s="162"/>
      <c r="S74" s="162"/>
      <c r="T74" s="162"/>
    </row>
    <row r="100" ht="16.5"/>
    <row r="101" ht="16.5"/>
    <row r="102" ht="16.5"/>
    <row r="103" ht="16.5"/>
    <row r="104" ht="16.5"/>
    <row r="105" ht="16.5"/>
    <row r="106" ht="16.5"/>
    <row r="107" ht="16.5"/>
    <row r="108" ht="16.5"/>
    <row r="109" ht="16.5"/>
    <row r="110" ht="16.5"/>
    <row r="111" ht="16.5"/>
    <row r="112" ht="16.5"/>
    <row r="113" ht="16.5"/>
    <row r="114" ht="16.5"/>
    <row r="115" ht="16.5"/>
    <row r="116" ht="16.5"/>
    <row r="117" ht="16.5"/>
    <row r="118" ht="16.5"/>
    <row r="119" ht="16.5"/>
    <row r="120" ht="16.5"/>
    <row r="121" ht="16.5"/>
    <row r="122" ht="16.5"/>
    <row r="123" ht="16.5"/>
    <row r="124" ht="16.5"/>
    <row r="125" ht="16.5"/>
    <row r="126" ht="16.5"/>
    <row r="127" ht="16.5"/>
    <row r="128" ht="16.5"/>
    <row r="129" ht="16.5"/>
  </sheetData>
  <sheetProtection/>
  <mergeCells count="44">
    <mergeCell ref="H1:I1"/>
    <mergeCell ref="H4:T4"/>
    <mergeCell ref="A2:T2"/>
    <mergeCell ref="T5:V5"/>
    <mergeCell ref="B5:D5"/>
    <mergeCell ref="K5:M5"/>
    <mergeCell ref="N5:P5"/>
    <mergeCell ref="Q5:S5"/>
    <mergeCell ref="Q12:S12"/>
    <mergeCell ref="Q15:S15"/>
    <mergeCell ref="Q18:S18"/>
    <mergeCell ref="N12:P12"/>
    <mergeCell ref="N15:P15"/>
    <mergeCell ref="H3:I3"/>
    <mergeCell ref="B15:D15"/>
    <mergeCell ref="B18:D18"/>
    <mergeCell ref="K37:M37"/>
    <mergeCell ref="N37:P37"/>
    <mergeCell ref="B30:D30"/>
    <mergeCell ref="B35:D35"/>
    <mergeCell ref="K30:M30"/>
    <mergeCell ref="K35:M35"/>
    <mergeCell ref="Q37:S37"/>
    <mergeCell ref="N18:P18"/>
    <mergeCell ref="B27:D27"/>
    <mergeCell ref="T12:V12"/>
    <mergeCell ref="T15:V15"/>
    <mergeCell ref="B37:D37"/>
    <mergeCell ref="T37:V37"/>
    <mergeCell ref="B12:D12"/>
    <mergeCell ref="K12:M12"/>
    <mergeCell ref="K15:M15"/>
    <mergeCell ref="T18:V18"/>
    <mergeCell ref="K27:M27"/>
    <mergeCell ref="N27:P27"/>
    <mergeCell ref="Q27:S27"/>
    <mergeCell ref="T27:V27"/>
    <mergeCell ref="K18:M18"/>
    <mergeCell ref="T30:V30"/>
    <mergeCell ref="T35:V35"/>
    <mergeCell ref="N30:P30"/>
    <mergeCell ref="N35:P35"/>
    <mergeCell ref="Q30:S30"/>
    <mergeCell ref="Q35:S35"/>
  </mergeCells>
  <printOptions horizontalCentered="1"/>
  <pageMargins left="0.35433070866141736" right="0.35433070866141736" top="1.2" bottom="1.05" header="0.5118110236220472" footer="0.67"/>
  <pageSetup horizontalDpi="600" verticalDpi="600" orientation="landscape" paperSize="9" scale="88" r:id="rId3"/>
  <headerFooter alignWithMargins="0">
    <oddHeader>&amp;R&amp;P</oddHeader>
  </headerFooter>
  <legacyDrawing r:id="rId2"/>
</worksheet>
</file>

<file path=xl/worksheets/sheet21.xml><?xml version="1.0" encoding="utf-8"?>
<worksheet xmlns="http://schemas.openxmlformats.org/spreadsheetml/2006/main" xmlns:r="http://schemas.openxmlformats.org/officeDocument/2006/relationships">
  <dimension ref="A4:G32"/>
  <sheetViews>
    <sheetView zoomScalePageLayoutView="0" workbookViewId="0" topLeftCell="A1">
      <selection activeCell="F13" sqref="F13"/>
    </sheetView>
  </sheetViews>
  <sheetFormatPr defaultColWidth="9.140625" defaultRowHeight="12.75"/>
  <cols>
    <col min="1" max="1" width="12.8515625" style="0" bestFit="1" customWidth="1"/>
  </cols>
  <sheetData>
    <row r="4" spans="2:6" ht="12.75">
      <c r="B4" s="137">
        <v>2011</v>
      </c>
      <c r="C4" s="137">
        <v>2012</v>
      </c>
      <c r="D4" s="137">
        <v>2013</v>
      </c>
      <c r="E4" s="137">
        <v>2014</v>
      </c>
      <c r="F4" s="137">
        <v>2015</v>
      </c>
    </row>
    <row r="5" spans="1:6" ht="16.5">
      <c r="A5" t="s">
        <v>201</v>
      </c>
      <c r="B5" s="5">
        <v>2233.513</v>
      </c>
      <c r="C5" s="5">
        <v>2610.689</v>
      </c>
      <c r="D5" s="5">
        <v>3059.123</v>
      </c>
      <c r="E5" s="5">
        <v>3593.513</v>
      </c>
      <c r="F5" s="5">
        <v>4232.313</v>
      </c>
    </row>
    <row r="6" spans="1:6" ht="15">
      <c r="A6" t="s">
        <v>202</v>
      </c>
      <c r="B6" s="6">
        <v>2254.345</v>
      </c>
      <c r="C6" s="6">
        <v>2648.484</v>
      </c>
      <c r="D6" s="6">
        <v>3119.879</v>
      </c>
      <c r="E6" s="6">
        <v>3682.591</v>
      </c>
      <c r="F6" s="6">
        <v>4355.599</v>
      </c>
    </row>
    <row r="8" spans="1:7" s="138" customFormat="1" ht="12.75">
      <c r="A8" s="138" t="s">
        <v>198</v>
      </c>
      <c r="B8" s="139">
        <v>455.19</v>
      </c>
      <c r="C8" s="139">
        <v>518.222</v>
      </c>
      <c r="D8" s="139">
        <v>590.105</v>
      </c>
      <c r="E8" s="139">
        <v>671.628</v>
      </c>
      <c r="F8" s="139">
        <v>763.932</v>
      </c>
      <c r="G8" s="139"/>
    </row>
    <row r="9" spans="1:7" ht="12.75">
      <c r="A9" t="s">
        <v>203</v>
      </c>
      <c r="B9" s="140">
        <v>459.436</v>
      </c>
      <c r="C9" s="140">
        <v>525.796</v>
      </c>
      <c r="D9" s="140">
        <v>601.825</v>
      </c>
      <c r="E9" s="140">
        <v>688.276</v>
      </c>
      <c r="F9" s="140">
        <v>786.186</v>
      </c>
      <c r="G9" s="140"/>
    </row>
    <row r="10" spans="1:7" s="138" customFormat="1" ht="12.75">
      <c r="A10" s="138" t="s">
        <v>199</v>
      </c>
      <c r="B10" s="139">
        <v>903.68</v>
      </c>
      <c r="C10" s="139">
        <v>1059.679</v>
      </c>
      <c r="D10" s="139">
        <v>1245.981</v>
      </c>
      <c r="E10" s="139">
        <v>1468.669</v>
      </c>
      <c r="F10" s="139">
        <v>1736.095</v>
      </c>
      <c r="G10" s="139"/>
    </row>
    <row r="11" spans="1:7" ht="12.75">
      <c r="A11" t="s">
        <v>204</v>
      </c>
      <c r="B11" s="140">
        <v>912.108</v>
      </c>
      <c r="C11" s="140">
        <v>1075.167</v>
      </c>
      <c r="D11" s="140">
        <v>1270.727</v>
      </c>
      <c r="E11" s="140">
        <v>1505.075</v>
      </c>
      <c r="F11" s="140">
        <v>1786.667</v>
      </c>
      <c r="G11" s="140"/>
    </row>
    <row r="12" spans="1:7" s="138" customFormat="1" ht="12.75">
      <c r="A12" s="138" t="s">
        <v>205</v>
      </c>
      <c r="B12" s="139">
        <v>874.644</v>
      </c>
      <c r="C12" s="139">
        <v>1032.789</v>
      </c>
      <c r="D12" s="139">
        <v>1223.037</v>
      </c>
      <c r="E12" s="139">
        <v>1453.217</v>
      </c>
      <c r="F12" s="139">
        <v>1732</v>
      </c>
      <c r="G12" s="139"/>
    </row>
    <row r="13" spans="1:7" ht="12.75">
      <c r="A13" t="s">
        <v>206</v>
      </c>
      <c r="B13" s="140">
        <v>882.802</v>
      </c>
      <c r="C13" s="140">
        <v>1047.884</v>
      </c>
      <c r="D13" s="140">
        <v>1247.328</v>
      </c>
      <c r="E13" s="140">
        <v>1489.24</v>
      </c>
      <c r="F13" s="140" t="e">
        <f>F6*#REF!/100</f>
        <v>#REF!</v>
      </c>
      <c r="G13" s="140"/>
    </row>
    <row r="14" spans="2:7" ht="12.75">
      <c r="B14" s="140"/>
      <c r="C14" s="140"/>
      <c r="D14" s="140"/>
      <c r="E14" s="140"/>
      <c r="F14" s="140"/>
      <c r="G14" s="140"/>
    </row>
    <row r="15" spans="2:7" ht="12.75">
      <c r="B15" s="140"/>
      <c r="C15" s="140"/>
      <c r="D15" s="140"/>
      <c r="E15" s="140"/>
      <c r="F15" s="140"/>
      <c r="G15" s="140"/>
    </row>
    <row r="16" spans="1:7" ht="12.75">
      <c r="A16" t="s">
        <v>207</v>
      </c>
      <c r="B16" s="140" t="s">
        <v>210</v>
      </c>
      <c r="C16" s="140"/>
      <c r="D16" s="140"/>
      <c r="E16" s="140"/>
      <c r="F16" s="140" t="s">
        <v>208</v>
      </c>
      <c r="G16" s="140" t="s">
        <v>209</v>
      </c>
    </row>
    <row r="17" spans="1:7" ht="12.75">
      <c r="A17" s="138" t="s">
        <v>195</v>
      </c>
      <c r="B17" s="140" t="e">
        <f>#REF!*#REF!/100</f>
        <v>#REF!</v>
      </c>
      <c r="C17" s="140" t="e">
        <f>#REF!*#REF!/100</f>
        <v>#REF!</v>
      </c>
      <c r="D17" s="140" t="e">
        <f>#REF!*#REF!/100</f>
        <v>#REF!</v>
      </c>
      <c r="E17" s="140" t="e">
        <f>#REF!*#REF!/100</f>
        <v>#REF!</v>
      </c>
      <c r="F17" s="140" t="e">
        <f>#REF!*40/100</f>
        <v>#REF!</v>
      </c>
      <c r="G17" s="140" t="e">
        <f>#REF!*41/100</f>
        <v>#REF!</v>
      </c>
    </row>
    <row r="18" spans="1:7" ht="12.75">
      <c r="A18" t="s">
        <v>196</v>
      </c>
      <c r="B18" s="140" t="e">
        <f>#REF!*#REF!/100</f>
        <v>#REF!</v>
      </c>
      <c r="C18" s="140" t="e">
        <f>#REF!*#REF!/100</f>
        <v>#REF!</v>
      </c>
      <c r="D18" s="140" t="e">
        <f>#REF!*#REF!/100</f>
        <v>#REF!</v>
      </c>
      <c r="E18" s="140" t="e">
        <f>#REF!*#REF!/100</f>
        <v>#REF!</v>
      </c>
      <c r="F18" s="140" t="e">
        <f>#REF!*28/100</f>
        <v>#REF!</v>
      </c>
      <c r="G18" s="140" t="e">
        <f>#REF!*29/100</f>
        <v>#REF!</v>
      </c>
    </row>
    <row r="19" spans="1:7" ht="12.75">
      <c r="A19" s="138" t="s">
        <v>197</v>
      </c>
      <c r="B19" s="140" t="e">
        <f>#REF!*#REF!/100</f>
        <v>#REF!</v>
      </c>
      <c r="C19" s="140" t="e">
        <f>#REF!*#REF!/100</f>
        <v>#REF!</v>
      </c>
      <c r="D19" s="140" t="e">
        <f>#REF!*#REF!/100</f>
        <v>#REF!</v>
      </c>
      <c r="E19" s="140" t="e">
        <f>#REF!*#REF!/100</f>
        <v>#REF!</v>
      </c>
      <c r="F19" s="140" t="e">
        <f>#REF!*30/100</f>
        <v>#REF!</v>
      </c>
      <c r="G19" s="140" t="e">
        <f>#REF!*31/100</f>
        <v>#REF!</v>
      </c>
    </row>
    <row r="21" spans="1:7" ht="12.75">
      <c r="A21" s="138"/>
      <c r="B21" s="140" t="e">
        <f aca="true" t="shared" si="0" ref="B21:G21">SUM(B17:B19)</f>
        <v>#REF!</v>
      </c>
      <c r="C21" s="140" t="e">
        <f t="shared" si="0"/>
        <v>#REF!</v>
      </c>
      <c r="D21" s="140" t="e">
        <f t="shared" si="0"/>
        <v>#REF!</v>
      </c>
      <c r="E21" s="140" t="e">
        <f t="shared" si="0"/>
        <v>#REF!</v>
      </c>
      <c r="F21" s="140" t="e">
        <f t="shared" si="0"/>
        <v>#REF!</v>
      </c>
      <c r="G21" s="140" t="e">
        <f t="shared" si="0"/>
        <v>#REF!</v>
      </c>
    </row>
    <row r="23" ht="12.75">
      <c r="A23" t="s">
        <v>211</v>
      </c>
    </row>
    <row r="24" spans="1:6" ht="12.75">
      <c r="A24" t="s">
        <v>212</v>
      </c>
      <c r="B24" t="e">
        <f>B5/B21</f>
        <v>#REF!</v>
      </c>
      <c r="C24" t="e">
        <f>C5/C21</f>
        <v>#REF!</v>
      </c>
      <c r="D24" t="e">
        <f>D5/D21</f>
        <v>#REF!</v>
      </c>
      <c r="E24" t="e">
        <f>E5/E21</f>
        <v>#REF!</v>
      </c>
      <c r="F24" t="e">
        <f>F5/F21</f>
        <v>#REF!</v>
      </c>
    </row>
    <row r="25" spans="1:6" ht="12.75">
      <c r="A25" t="s">
        <v>212</v>
      </c>
      <c r="B25" t="e">
        <f>B6/B21</f>
        <v>#REF!</v>
      </c>
      <c r="C25" t="e">
        <f>C6/C21</f>
        <v>#REF!</v>
      </c>
      <c r="D25" t="e">
        <f>D6/D21</f>
        <v>#REF!</v>
      </c>
      <c r="E25" t="e">
        <f>E6/E21</f>
        <v>#REF!</v>
      </c>
      <c r="F25" t="e">
        <f>F6/F21</f>
        <v>#REF!</v>
      </c>
    </row>
    <row r="27" spans="1:7" ht="12.75">
      <c r="A27" s="138" t="s">
        <v>198</v>
      </c>
      <c r="B27" s="140" t="e">
        <f>B8/B17</f>
        <v>#REF!</v>
      </c>
      <c r="C27" s="140" t="e">
        <f>C8/C17</f>
        <v>#REF!</v>
      </c>
      <c r="D27" s="140" t="e">
        <f>D8/D17</f>
        <v>#REF!</v>
      </c>
      <c r="E27" s="140" t="e">
        <f>E8/E17</f>
        <v>#REF!</v>
      </c>
      <c r="F27" s="140" t="e">
        <f>$F$8/F17</f>
        <v>#REF!</v>
      </c>
      <c r="G27" s="140" t="e">
        <f>$F$8/G17</f>
        <v>#REF!</v>
      </c>
    </row>
    <row r="28" spans="1:7" ht="12.75">
      <c r="A28" t="s">
        <v>203</v>
      </c>
      <c r="B28" s="140" t="e">
        <f aca="true" t="shared" si="1" ref="B28:E29">B9/B17</f>
        <v>#REF!</v>
      </c>
      <c r="C28" s="140" t="e">
        <f t="shared" si="1"/>
        <v>#REF!</v>
      </c>
      <c r="D28" s="140" t="e">
        <f t="shared" si="1"/>
        <v>#REF!</v>
      </c>
      <c r="E28" s="140" t="e">
        <f t="shared" si="1"/>
        <v>#REF!</v>
      </c>
      <c r="F28" s="140" t="e">
        <f>$F$9/F17</f>
        <v>#REF!</v>
      </c>
      <c r="G28" s="140" t="e">
        <f>$F$9/G17</f>
        <v>#REF!</v>
      </c>
    </row>
    <row r="29" spans="1:7" ht="12.75">
      <c r="A29" s="138" t="s">
        <v>199</v>
      </c>
      <c r="B29" s="140" t="e">
        <f t="shared" si="1"/>
        <v>#REF!</v>
      </c>
      <c r="C29" s="140" t="e">
        <f t="shared" si="1"/>
        <v>#REF!</v>
      </c>
      <c r="D29" s="140" t="e">
        <f t="shared" si="1"/>
        <v>#REF!</v>
      </c>
      <c r="E29" s="140" t="e">
        <f t="shared" si="1"/>
        <v>#REF!</v>
      </c>
      <c r="F29" s="140" t="e">
        <f>$F$10/F18</f>
        <v>#REF!</v>
      </c>
      <c r="G29" s="140" t="e">
        <f>$F$10/G18</f>
        <v>#REF!</v>
      </c>
    </row>
    <row r="30" spans="1:7" ht="12.75">
      <c r="A30" t="s">
        <v>204</v>
      </c>
      <c r="B30" s="140" t="e">
        <f aca="true" t="shared" si="2" ref="B30:E31">B11/B18</f>
        <v>#REF!</v>
      </c>
      <c r="C30" s="140" t="e">
        <f t="shared" si="2"/>
        <v>#REF!</v>
      </c>
      <c r="D30" s="140" t="e">
        <f t="shared" si="2"/>
        <v>#REF!</v>
      </c>
      <c r="E30" s="140" t="e">
        <f t="shared" si="2"/>
        <v>#REF!</v>
      </c>
      <c r="F30" s="140" t="e">
        <f>$F$11/F18</f>
        <v>#REF!</v>
      </c>
      <c r="G30" s="140" t="e">
        <f>$F$11/G18</f>
        <v>#REF!</v>
      </c>
    </row>
    <row r="31" spans="1:7" ht="12.75">
      <c r="A31" s="138" t="s">
        <v>205</v>
      </c>
      <c r="B31" s="140" t="e">
        <f t="shared" si="2"/>
        <v>#REF!</v>
      </c>
      <c r="C31" s="140" t="e">
        <f t="shared" si="2"/>
        <v>#REF!</v>
      </c>
      <c r="D31" s="140" t="e">
        <f t="shared" si="2"/>
        <v>#REF!</v>
      </c>
      <c r="E31" s="140" t="e">
        <f t="shared" si="2"/>
        <v>#REF!</v>
      </c>
      <c r="F31" s="140" t="e">
        <f>$F$12/F19</f>
        <v>#REF!</v>
      </c>
      <c r="G31" s="140" t="e">
        <f>$F$12/G19</f>
        <v>#REF!</v>
      </c>
    </row>
    <row r="32" spans="1:7" ht="12.75">
      <c r="A32" t="s">
        <v>206</v>
      </c>
      <c r="B32" s="140" t="e">
        <f>B13/B19</f>
        <v>#REF!</v>
      </c>
      <c r="C32" s="140" t="e">
        <f>C13/C19</f>
        <v>#REF!</v>
      </c>
      <c r="D32" s="140" t="e">
        <f>D13/D19</f>
        <v>#REF!</v>
      </c>
      <c r="E32" s="140" t="e">
        <f>E13/E19</f>
        <v>#REF!</v>
      </c>
      <c r="F32" s="140" t="e">
        <f>$F$13/F19</f>
        <v>#REF!</v>
      </c>
      <c r="G32" s="140" t="e">
        <f>$F$13/G19</f>
        <v>#REF!</v>
      </c>
    </row>
  </sheetData>
  <sheetProtection/>
  <printOptions/>
  <pageMargins left="0.7480314960629921" right="0.7480314960629921" top="0.984251968503937" bottom="0.984251968503937" header="0.5118110236220472" footer="0.5118110236220472"/>
  <pageSetup firstPageNumber="138" useFirstPageNumber="1" horizontalDpi="600" verticalDpi="600" orientation="landscape" paperSize="9" r:id="rId1"/>
  <headerFooter alignWithMargins="0">
    <oddHeader>&amp;R&amp;P</oddHeader>
  </headerFooter>
</worksheet>
</file>

<file path=xl/worksheets/sheet22.xml><?xml version="1.0" encoding="utf-8"?>
<worksheet xmlns="http://schemas.openxmlformats.org/spreadsheetml/2006/main" xmlns:r="http://schemas.openxmlformats.org/officeDocument/2006/relationships">
  <dimension ref="A1:L35"/>
  <sheetViews>
    <sheetView zoomScalePageLayoutView="0" workbookViewId="0" topLeftCell="A1">
      <selection activeCell="G16" sqref="G16"/>
    </sheetView>
  </sheetViews>
  <sheetFormatPr defaultColWidth="9.140625" defaultRowHeight="12.75"/>
  <cols>
    <col min="1" max="1" width="5.140625" style="4" customWidth="1"/>
    <col min="2" max="2" width="36.57421875" style="2" customWidth="1"/>
    <col min="3" max="3" width="15.8515625" style="3" customWidth="1"/>
    <col min="4" max="4" width="12.8515625" style="1" customWidth="1"/>
    <col min="5" max="5" width="10.140625" style="1" hidden="1" customWidth="1"/>
    <col min="6" max="10" width="10.140625" style="1" customWidth="1"/>
    <col min="11" max="11" width="12.421875" style="1" customWidth="1"/>
    <col min="12" max="16384" width="9.140625" style="1" customWidth="1"/>
  </cols>
  <sheetData>
    <row r="1" ht="30" customHeight="1">
      <c r="K1" s="7" t="s">
        <v>105</v>
      </c>
    </row>
    <row r="2" spans="1:11" ht="18" customHeight="1">
      <c r="A2" s="1372" t="s">
        <v>132</v>
      </c>
      <c r="B2" s="1372"/>
      <c r="C2" s="1372"/>
      <c r="D2" s="1372"/>
      <c r="E2" s="1372"/>
      <c r="F2" s="1372"/>
      <c r="G2" s="1372"/>
      <c r="H2" s="1372"/>
      <c r="I2" s="1372"/>
      <c r="J2" s="1372"/>
      <c r="K2" s="1372"/>
    </row>
    <row r="3" ht="15" customHeight="1"/>
    <row r="4" spans="1:11" s="125" customFormat="1" ht="22.5" customHeight="1">
      <c r="A4" s="1370" t="s">
        <v>0</v>
      </c>
      <c r="B4" s="1370" t="s">
        <v>1</v>
      </c>
      <c r="C4" s="1370" t="s">
        <v>2</v>
      </c>
      <c r="D4" s="1370" t="s">
        <v>131</v>
      </c>
      <c r="E4" s="1370" t="s">
        <v>93</v>
      </c>
      <c r="F4" s="1370">
        <v>2011</v>
      </c>
      <c r="G4" s="1370">
        <v>2012</v>
      </c>
      <c r="H4" s="1368">
        <v>2013</v>
      </c>
      <c r="I4" s="1370">
        <v>2014</v>
      </c>
      <c r="J4" s="1370">
        <v>2015</v>
      </c>
      <c r="K4" s="1370" t="s">
        <v>94</v>
      </c>
    </row>
    <row r="5" spans="1:11" s="125" customFormat="1" ht="21" customHeight="1">
      <c r="A5" s="1371"/>
      <c r="B5" s="1371"/>
      <c r="C5" s="1371"/>
      <c r="D5" s="1371"/>
      <c r="E5" s="1371"/>
      <c r="F5" s="1371"/>
      <c r="G5" s="1371"/>
      <c r="H5" s="1369"/>
      <c r="I5" s="1371"/>
      <c r="J5" s="1371"/>
      <c r="K5" s="1371"/>
    </row>
    <row r="6" spans="1:11" ht="19.5" customHeight="1">
      <c r="A6" s="29"/>
      <c r="B6" s="32"/>
      <c r="C6" s="126"/>
      <c r="D6" s="18"/>
      <c r="E6" s="18"/>
      <c r="F6" s="18"/>
      <c r="G6" s="18"/>
      <c r="H6" s="18"/>
      <c r="I6" s="122"/>
      <c r="J6" s="122"/>
      <c r="K6" s="20"/>
    </row>
    <row r="7" spans="1:11" s="21" customFormat="1" ht="33.75" customHeight="1">
      <c r="A7" s="15" t="s">
        <v>101</v>
      </c>
      <c r="B7" s="16" t="s">
        <v>119</v>
      </c>
      <c r="C7" s="30" t="s">
        <v>16</v>
      </c>
      <c r="E7" s="69">
        <f>E10+E13</f>
        <v>714.052</v>
      </c>
      <c r="F7" s="69"/>
      <c r="G7" s="69"/>
      <c r="H7" s="102"/>
      <c r="I7" s="102"/>
      <c r="J7" s="102"/>
      <c r="K7" s="8"/>
    </row>
    <row r="8" spans="1:12" s="92" customFormat="1" ht="33.75" customHeight="1">
      <c r="A8" s="87"/>
      <c r="B8" s="83" t="s">
        <v>17</v>
      </c>
      <c r="C8" s="30" t="s">
        <v>5</v>
      </c>
      <c r="D8" s="84"/>
      <c r="E8" s="91"/>
      <c r="F8" s="93"/>
      <c r="G8" s="93"/>
      <c r="H8" s="106"/>
      <c r="I8" s="106"/>
      <c r="J8" s="106"/>
      <c r="K8" s="87"/>
      <c r="L8" s="121"/>
    </row>
    <row r="9" spans="1:11" s="92" customFormat="1" ht="33.75" customHeight="1">
      <c r="A9" s="87"/>
      <c r="B9" s="83" t="s">
        <v>117</v>
      </c>
      <c r="C9" s="30" t="s">
        <v>5</v>
      </c>
      <c r="D9" s="84"/>
      <c r="E9" s="91">
        <f>E7/E31*100</f>
        <v>85.08722592945662</v>
      </c>
      <c r="F9" s="91"/>
      <c r="G9" s="91"/>
      <c r="H9" s="104"/>
      <c r="I9" s="104"/>
      <c r="J9" s="104"/>
      <c r="K9" s="87"/>
    </row>
    <row r="10" spans="1:11" s="9" customFormat="1" ht="33.75" customHeight="1">
      <c r="A10" s="15" t="s">
        <v>102</v>
      </c>
      <c r="B10" s="16" t="s">
        <v>118</v>
      </c>
      <c r="C10" s="30" t="s">
        <v>16</v>
      </c>
      <c r="E10" s="69">
        <v>152.571</v>
      </c>
      <c r="F10" s="69"/>
      <c r="G10" s="69"/>
      <c r="H10" s="114"/>
      <c r="I10" s="114"/>
      <c r="J10" s="114"/>
      <c r="K10" s="15"/>
    </row>
    <row r="11" spans="1:11" s="88" customFormat="1" ht="33.75" customHeight="1">
      <c r="A11" s="82"/>
      <c r="B11" s="90" t="s">
        <v>123</v>
      </c>
      <c r="C11" s="30" t="s">
        <v>5</v>
      </c>
      <c r="D11" s="84"/>
      <c r="E11" s="85"/>
      <c r="F11" s="86"/>
      <c r="G11" s="86"/>
      <c r="H11" s="103"/>
      <c r="I11" s="103"/>
      <c r="J11" s="103"/>
      <c r="K11" s="87"/>
    </row>
    <row r="12" spans="1:11" s="88" customFormat="1" ht="33.75" customHeight="1">
      <c r="A12" s="82"/>
      <c r="B12" s="90" t="s">
        <v>109</v>
      </c>
      <c r="C12" s="30" t="s">
        <v>5</v>
      </c>
      <c r="D12" s="84"/>
      <c r="E12" s="93">
        <f>E10/E7*100</f>
        <v>21.36693125990824</v>
      </c>
      <c r="F12" s="93"/>
      <c r="G12" s="93"/>
      <c r="H12" s="103"/>
      <c r="I12" s="103"/>
      <c r="J12" s="103"/>
      <c r="K12" s="87"/>
    </row>
    <row r="13" spans="1:11" s="21" customFormat="1" ht="33.75" customHeight="1">
      <c r="A13" s="15" t="s">
        <v>115</v>
      </c>
      <c r="B13" s="16" t="s">
        <v>106</v>
      </c>
      <c r="C13" s="30" t="s">
        <v>16</v>
      </c>
      <c r="E13" s="69">
        <f>E17+E19</f>
        <v>561.481</v>
      </c>
      <c r="F13" s="69"/>
      <c r="G13" s="69"/>
      <c r="H13" s="105"/>
      <c r="I13" s="105"/>
      <c r="J13" s="105"/>
      <c r="K13" s="8"/>
    </row>
    <row r="14" spans="1:11" s="92" customFormat="1" ht="28.5" customHeight="1">
      <c r="A14" s="87"/>
      <c r="B14" s="90" t="s">
        <v>123</v>
      </c>
      <c r="C14" s="30" t="s">
        <v>5</v>
      </c>
      <c r="D14" s="84"/>
      <c r="E14" s="91"/>
      <c r="F14" s="86"/>
      <c r="G14" s="86"/>
      <c r="H14" s="106"/>
      <c r="I14" s="106"/>
      <c r="J14" s="106"/>
      <c r="K14" s="87"/>
    </row>
    <row r="15" spans="1:11" s="92" customFormat="1" ht="27.75" customHeight="1">
      <c r="A15" s="87"/>
      <c r="B15" s="90" t="s">
        <v>114</v>
      </c>
      <c r="C15" s="30" t="s">
        <v>5</v>
      </c>
      <c r="D15" s="84"/>
      <c r="E15" s="91">
        <f>E10/E31*100</f>
        <v>18.180529075309817</v>
      </c>
      <c r="F15" s="91"/>
      <c r="G15" s="91"/>
      <c r="H15" s="104"/>
      <c r="I15" s="104"/>
      <c r="J15" s="104"/>
      <c r="K15" s="87"/>
    </row>
    <row r="16" spans="1:11" s="21" customFormat="1" ht="25.5" customHeight="1">
      <c r="A16" s="8"/>
      <c r="B16" s="12" t="s">
        <v>6</v>
      </c>
      <c r="C16" s="30"/>
      <c r="D16" s="19"/>
      <c r="E16" s="69"/>
      <c r="F16" s="69"/>
      <c r="G16" s="69"/>
      <c r="H16" s="101"/>
      <c r="I16" s="101"/>
      <c r="J16" s="101"/>
      <c r="K16" s="8"/>
    </row>
    <row r="17" spans="1:11" s="33" customFormat="1" ht="26.25" customHeight="1">
      <c r="A17" s="55"/>
      <c r="B17" s="94" t="s">
        <v>107</v>
      </c>
      <c r="C17" s="30" t="s">
        <v>16</v>
      </c>
      <c r="D17" s="72"/>
      <c r="E17" s="69">
        <v>402.301</v>
      </c>
      <c r="F17" s="69"/>
      <c r="G17" s="69"/>
      <c r="H17" s="107"/>
      <c r="I17" s="107"/>
      <c r="J17" s="107"/>
      <c r="K17" s="55"/>
    </row>
    <row r="18" spans="1:11" s="33" customFormat="1" ht="26.25" customHeight="1">
      <c r="A18" s="55"/>
      <c r="B18" s="95" t="s">
        <v>17</v>
      </c>
      <c r="C18" s="115" t="s">
        <v>5</v>
      </c>
      <c r="D18" s="28"/>
      <c r="E18" s="69"/>
      <c r="F18" s="31"/>
      <c r="G18" s="31"/>
      <c r="H18" s="108"/>
      <c r="I18" s="108"/>
      <c r="J18" s="108"/>
      <c r="K18" s="11"/>
    </row>
    <row r="19" spans="1:11" s="33" customFormat="1" ht="25.5" customHeight="1">
      <c r="A19" s="55"/>
      <c r="B19" s="94" t="s">
        <v>108</v>
      </c>
      <c r="C19" s="30" t="s">
        <v>16</v>
      </c>
      <c r="D19" s="72"/>
      <c r="E19" s="69">
        <v>159.18</v>
      </c>
      <c r="F19" s="69"/>
      <c r="G19" s="69"/>
      <c r="H19" s="107"/>
      <c r="I19" s="107"/>
      <c r="J19" s="107"/>
      <c r="K19" s="55"/>
    </row>
    <row r="20" spans="1:11" s="33" customFormat="1" ht="24.75" customHeight="1">
      <c r="A20" s="55"/>
      <c r="B20" s="95" t="s">
        <v>17</v>
      </c>
      <c r="C20" s="115" t="s">
        <v>5</v>
      </c>
      <c r="D20" s="28"/>
      <c r="E20" s="69"/>
      <c r="F20" s="31"/>
      <c r="G20" s="31"/>
      <c r="H20" s="108"/>
      <c r="I20" s="108"/>
      <c r="J20" s="108"/>
      <c r="K20" s="11"/>
    </row>
    <row r="21" spans="1:11" s="33" customFormat="1" ht="19.5" customHeight="1">
      <c r="A21" s="55"/>
      <c r="B21" s="95"/>
      <c r="C21" s="115"/>
      <c r="D21" s="28"/>
      <c r="E21" s="69"/>
      <c r="F21" s="31"/>
      <c r="G21" s="31"/>
      <c r="H21" s="109"/>
      <c r="I21" s="109"/>
      <c r="J21" s="109"/>
      <c r="K21" s="11"/>
    </row>
    <row r="22" spans="1:11" s="21" customFormat="1" ht="33.75" customHeight="1">
      <c r="A22" s="15" t="s">
        <v>116</v>
      </c>
      <c r="B22" s="16" t="s">
        <v>110</v>
      </c>
      <c r="C22" s="30" t="s">
        <v>16</v>
      </c>
      <c r="D22" s="28"/>
      <c r="E22" s="69">
        <f>E25+E28</f>
        <v>556.0989999999999</v>
      </c>
      <c r="F22" s="69"/>
      <c r="G22" s="69"/>
      <c r="H22" s="105"/>
      <c r="I22" s="105"/>
      <c r="J22" s="105"/>
      <c r="K22" s="8"/>
    </row>
    <row r="23" spans="1:11" s="21" customFormat="1" ht="33.75" customHeight="1">
      <c r="A23" s="8"/>
      <c r="B23" s="83" t="s">
        <v>17</v>
      </c>
      <c r="C23" s="30" t="s">
        <v>5</v>
      </c>
      <c r="D23" s="27"/>
      <c r="E23" s="71"/>
      <c r="F23" s="17"/>
      <c r="G23" s="17"/>
      <c r="H23" s="110"/>
      <c r="I23" s="110"/>
      <c r="J23" s="110"/>
      <c r="K23" s="8"/>
    </row>
    <row r="24" spans="1:11" s="21" customFormat="1" ht="33.75" customHeight="1">
      <c r="A24" s="8"/>
      <c r="B24" s="12" t="s">
        <v>6</v>
      </c>
      <c r="C24" s="30"/>
      <c r="D24" s="19"/>
      <c r="E24" s="96"/>
      <c r="F24" s="96"/>
      <c r="G24" s="96"/>
      <c r="H24" s="101"/>
      <c r="I24" s="101"/>
      <c r="J24" s="101"/>
      <c r="K24" s="8"/>
    </row>
    <row r="25" spans="1:11" s="21" customFormat="1" ht="33.75" customHeight="1">
      <c r="A25" s="8"/>
      <c r="B25" s="26" t="s">
        <v>111</v>
      </c>
      <c r="C25" s="30" t="s">
        <v>16</v>
      </c>
      <c r="D25" s="19"/>
      <c r="E25" s="22">
        <v>421.654</v>
      </c>
      <c r="F25" s="22"/>
      <c r="G25" s="22"/>
      <c r="H25" s="101"/>
      <c r="I25" s="101"/>
      <c r="J25" s="101"/>
      <c r="K25" s="8"/>
    </row>
    <row r="26" spans="1:11" s="21" customFormat="1" ht="33.75" customHeight="1">
      <c r="A26" s="8"/>
      <c r="B26" s="89" t="s">
        <v>120</v>
      </c>
      <c r="C26" s="30" t="s">
        <v>5</v>
      </c>
      <c r="D26" s="19"/>
      <c r="E26" s="22"/>
      <c r="F26" s="31"/>
      <c r="G26" s="31"/>
      <c r="H26" s="108"/>
      <c r="I26" s="108"/>
      <c r="J26" s="108"/>
      <c r="K26" s="8"/>
    </row>
    <row r="27" spans="1:11" s="25" customFormat="1" ht="33.75" customHeight="1">
      <c r="A27" s="23"/>
      <c r="B27" s="74" t="s">
        <v>121</v>
      </c>
      <c r="C27" s="30" t="s">
        <v>5</v>
      </c>
      <c r="D27" s="24"/>
      <c r="E27" s="17">
        <f>+E25/E22*100</f>
        <v>75.82354940397305</v>
      </c>
      <c r="F27" s="17"/>
      <c r="G27" s="17"/>
      <c r="H27" s="110"/>
      <c r="I27" s="110"/>
      <c r="J27" s="110"/>
      <c r="K27" s="23"/>
    </row>
    <row r="28" spans="1:12" s="21" customFormat="1" ht="33.75" customHeight="1">
      <c r="A28" s="8"/>
      <c r="B28" s="26" t="s">
        <v>112</v>
      </c>
      <c r="C28" s="30" t="s">
        <v>16</v>
      </c>
      <c r="D28" s="19"/>
      <c r="E28" s="73">
        <v>134.445</v>
      </c>
      <c r="F28" s="73"/>
      <c r="G28" s="73"/>
      <c r="H28" s="111"/>
      <c r="I28" s="111"/>
      <c r="J28" s="111"/>
      <c r="K28" s="8"/>
      <c r="L28" s="120"/>
    </row>
    <row r="29" spans="1:11" s="14" customFormat="1" ht="33.75" customHeight="1">
      <c r="A29" s="11"/>
      <c r="B29" s="89" t="s">
        <v>120</v>
      </c>
      <c r="C29" s="115" t="s">
        <v>5</v>
      </c>
      <c r="D29" s="28"/>
      <c r="E29" s="99"/>
      <c r="F29" s="31"/>
      <c r="G29" s="31"/>
      <c r="H29" s="109"/>
      <c r="I29" s="109"/>
      <c r="J29" s="109"/>
      <c r="K29" s="11"/>
    </row>
    <row r="30" spans="1:11" s="14" customFormat="1" ht="33.75" customHeight="1">
      <c r="A30" s="97"/>
      <c r="B30" s="75" t="s">
        <v>122</v>
      </c>
      <c r="C30" s="115" t="s">
        <v>5</v>
      </c>
      <c r="D30" s="28"/>
      <c r="E30" s="13">
        <f>+E28/E22*100</f>
        <v>24.176450596026967</v>
      </c>
      <c r="F30" s="13"/>
      <c r="G30" s="13"/>
      <c r="H30" s="112"/>
      <c r="I30" s="112"/>
      <c r="J30" s="112"/>
      <c r="K30" s="98"/>
    </row>
    <row r="31" spans="1:11" s="25" customFormat="1" ht="33.75" customHeight="1" hidden="1">
      <c r="A31" s="76" t="s">
        <v>18</v>
      </c>
      <c r="B31" s="77" t="s">
        <v>113</v>
      </c>
      <c r="C31" s="10" t="s">
        <v>16</v>
      </c>
      <c r="D31" s="78"/>
      <c r="E31" s="70">
        <v>839.2</v>
      </c>
      <c r="F31" s="70">
        <v>974.3</v>
      </c>
      <c r="G31" s="79">
        <v>1144</v>
      </c>
      <c r="H31" s="78">
        <v>1490</v>
      </c>
      <c r="I31" s="123"/>
      <c r="J31" s="123"/>
      <c r="K31" s="63"/>
    </row>
    <row r="32" spans="1:11" s="21" customFormat="1" ht="19.5" customHeight="1">
      <c r="A32" s="36"/>
      <c r="B32" s="35"/>
      <c r="C32" s="127"/>
      <c r="D32" s="37"/>
      <c r="E32" s="80"/>
      <c r="F32" s="37"/>
      <c r="G32" s="37"/>
      <c r="H32" s="113"/>
      <c r="I32" s="113"/>
      <c r="J32" s="113"/>
      <c r="K32" s="34"/>
    </row>
    <row r="34" spans="4:10" ht="15">
      <c r="D34" s="62"/>
      <c r="H34" s="81"/>
      <c r="I34" s="81"/>
      <c r="J34" s="81"/>
    </row>
    <row r="35" spans="8:10" ht="15">
      <c r="H35" s="81"/>
      <c r="I35" s="81"/>
      <c r="J35" s="81"/>
    </row>
  </sheetData>
  <sheetProtection/>
  <mergeCells count="12">
    <mergeCell ref="F4:F5"/>
    <mergeCell ref="G4:G5"/>
    <mergeCell ref="H4:H5"/>
    <mergeCell ref="I4:I5"/>
    <mergeCell ref="A2:K2"/>
    <mergeCell ref="A4:A5"/>
    <mergeCell ref="B4:B5"/>
    <mergeCell ref="C4:C5"/>
    <mergeCell ref="D4:D5"/>
    <mergeCell ref="E4:E5"/>
    <mergeCell ref="K4:K5"/>
    <mergeCell ref="J4:J5"/>
  </mergeCells>
  <printOptions/>
  <pageMargins left="0.71" right="0.66" top="0.73" bottom="0.93" header="0.5" footer="0.5"/>
  <pageSetup horizontalDpi="600" verticalDpi="600" orientation="landscape" paperSize="9" r:id="rId3"/>
  <headerFooter alignWithMargins="0">
    <oddFooter>&amp;C&amp;P</oddFooter>
  </headerFooter>
  <legacyDrawing r:id="rId2"/>
</worksheet>
</file>

<file path=xl/worksheets/sheet23.xml><?xml version="1.0" encoding="utf-8"?>
<worksheet xmlns="http://schemas.openxmlformats.org/spreadsheetml/2006/main" xmlns:r="http://schemas.openxmlformats.org/officeDocument/2006/relationships">
  <dimension ref="A4:S16"/>
  <sheetViews>
    <sheetView zoomScalePageLayoutView="0" workbookViewId="0" topLeftCell="A1">
      <selection activeCell="A28" sqref="A28"/>
    </sheetView>
  </sheetViews>
  <sheetFormatPr defaultColWidth="9.140625" defaultRowHeight="12.75"/>
  <cols>
    <col min="2" max="2" width="7.00390625" style="0" customWidth="1"/>
    <col min="4" max="4" width="7.8515625" style="0" customWidth="1"/>
    <col min="5" max="5" width="8.57421875" style="0" customWidth="1"/>
    <col min="6" max="7" width="7.140625" style="0" customWidth="1"/>
    <col min="8" max="8" width="7.00390625" style="0" customWidth="1"/>
    <col min="9" max="9" width="6.8515625" style="0" customWidth="1"/>
    <col min="10" max="10" width="7.8515625" style="0" customWidth="1"/>
    <col min="11" max="11" width="7.421875" style="0" customWidth="1"/>
    <col min="12" max="12" width="7.140625" style="0" customWidth="1"/>
    <col min="13" max="13" width="7.57421875" style="0" customWidth="1"/>
    <col min="14" max="14" width="7.421875" style="0" customWidth="1"/>
    <col min="15" max="15" width="7.57421875" style="0" customWidth="1"/>
    <col min="16" max="16" width="9.8515625" style="0" customWidth="1"/>
    <col min="17" max="17" width="7.421875" style="0" customWidth="1"/>
  </cols>
  <sheetData>
    <row r="4" spans="1:18" ht="12.75">
      <c r="A4" s="128"/>
      <c r="B4" s="128"/>
      <c r="C4" s="128"/>
      <c r="D4" s="128"/>
      <c r="E4" s="128"/>
      <c r="F4" s="128"/>
      <c r="G4" s="128"/>
      <c r="H4" s="128"/>
      <c r="I4" s="128"/>
      <c r="J4" s="128"/>
      <c r="K4" s="128"/>
      <c r="L4" s="128"/>
      <c r="M4" s="128"/>
      <c r="N4" s="128"/>
      <c r="O4" s="128"/>
      <c r="P4" s="128"/>
      <c r="Q4" s="128"/>
      <c r="R4" s="135" t="s">
        <v>173</v>
      </c>
    </row>
    <row r="5" spans="1:17" ht="12.75">
      <c r="A5" s="128"/>
      <c r="B5" s="128">
        <v>2010</v>
      </c>
      <c r="C5" s="1373">
        <v>2011</v>
      </c>
      <c r="D5" s="1373"/>
      <c r="E5" s="1373"/>
      <c r="F5" s="1373">
        <v>2012</v>
      </c>
      <c r="G5" s="1373"/>
      <c r="H5" s="1373"/>
      <c r="I5" s="1373">
        <v>2013</v>
      </c>
      <c r="J5" s="1373"/>
      <c r="K5" s="1373"/>
      <c r="L5" s="1373">
        <v>2014</v>
      </c>
      <c r="M5" s="1373"/>
      <c r="N5" s="1373"/>
      <c r="O5" s="1373">
        <v>2015</v>
      </c>
      <c r="P5" s="1373"/>
      <c r="Q5" s="1373"/>
    </row>
    <row r="6" spans="1:19" ht="15">
      <c r="A6" s="128"/>
      <c r="B6" s="128"/>
      <c r="C6" s="129" t="s">
        <v>168</v>
      </c>
      <c r="D6" s="129" t="s">
        <v>169</v>
      </c>
      <c r="E6" s="129" t="s">
        <v>170</v>
      </c>
      <c r="F6" s="130" t="s">
        <v>168</v>
      </c>
      <c r="G6" s="130" t="s">
        <v>169</v>
      </c>
      <c r="H6" s="130" t="s">
        <v>170</v>
      </c>
      <c r="I6" s="129" t="s">
        <v>168</v>
      </c>
      <c r="J6" s="129" t="s">
        <v>169</v>
      </c>
      <c r="K6" s="129" t="s">
        <v>170</v>
      </c>
      <c r="L6" s="130" t="s">
        <v>168</v>
      </c>
      <c r="M6" s="130" t="s">
        <v>169</v>
      </c>
      <c r="N6" s="130" t="s">
        <v>170</v>
      </c>
      <c r="O6" s="129" t="s">
        <v>168</v>
      </c>
      <c r="P6" s="129" t="s">
        <v>169</v>
      </c>
      <c r="Q6" s="129" t="s">
        <v>170</v>
      </c>
      <c r="R6" s="136" t="s">
        <v>168</v>
      </c>
      <c r="S6" s="136" t="s">
        <v>169</v>
      </c>
    </row>
    <row r="7" spans="1:19" ht="57">
      <c r="A7" s="131" t="s">
        <v>7</v>
      </c>
      <c r="B7" s="128">
        <v>1968.55</v>
      </c>
      <c r="C7" s="128">
        <f>B7*(1+C11%)*(1+C14)</f>
        <v>2264.22621</v>
      </c>
      <c r="D7" s="128">
        <f>C7*(1+D11%)*(1+D14)</f>
        <v>2628.76662981</v>
      </c>
      <c r="E7" s="128">
        <f>(C7+D7)/2</f>
        <v>2446.496419905</v>
      </c>
      <c r="F7" s="128">
        <f>E7*(1+F11%)*(1+F14)</f>
        <v>2819.244614441726</v>
      </c>
      <c r="G7" s="128">
        <f>E7*(1+G11%)*(1+G14)</f>
        <v>2845.6667757767</v>
      </c>
      <c r="H7" s="128">
        <f>(F7+G7)/2</f>
        <v>2832.4556951092127</v>
      </c>
      <c r="I7" s="128">
        <f>H7*(1+I11%)*(1+I14)</f>
        <v>3270.126749117488</v>
      </c>
      <c r="J7" s="128">
        <f>H7*(1+J11%)*(1+J14)</f>
        <v>3300.717270624668</v>
      </c>
      <c r="K7" s="128">
        <f>(I7+J7)/2</f>
        <v>3285.422009871078</v>
      </c>
      <c r="L7" s="128">
        <f>K7*(1+L11%)*(1+L14)</f>
        <v>3803.7301861483397</v>
      </c>
      <c r="M7" s="128">
        <f>K7*(1+M11%)*(1+M14)</f>
        <v>3839.2127438549473</v>
      </c>
      <c r="N7" s="128">
        <f>(L7+M7)/2</f>
        <v>3821.4714650016435</v>
      </c>
      <c r="O7" s="128">
        <f>N7*(1+O11%)*(1+O14)</f>
        <v>4436.728370866908</v>
      </c>
      <c r="P7" s="128">
        <f>N7*(1+P11%)*(1+P14)</f>
        <v>4478.000262688925</v>
      </c>
      <c r="Q7" s="128">
        <f>(O7+P7)/2</f>
        <v>4457.364316777917</v>
      </c>
      <c r="R7">
        <f>C7+F7+I7+L7+O7</f>
        <v>16594.05613057446</v>
      </c>
      <c r="S7">
        <f>D7+G7+J7+M7+P7</f>
        <v>17092.36368275524</v>
      </c>
    </row>
    <row r="8" spans="1:19" ht="42.75">
      <c r="A8" s="131" t="s">
        <v>8</v>
      </c>
      <c r="B8" s="128">
        <v>108.15</v>
      </c>
      <c r="C8" s="128">
        <f>C7/C15</f>
        <v>121.73259193548385</v>
      </c>
      <c r="D8" s="128">
        <f>D7/D15</f>
        <v>141.33153923709676</v>
      </c>
      <c r="E8" s="128"/>
      <c r="F8" s="128">
        <f>F7/F15</f>
        <v>147.604430075483</v>
      </c>
      <c r="G8" s="128">
        <f>G7/G15</f>
        <v>148.98778930768063</v>
      </c>
      <c r="H8" s="128"/>
      <c r="I8" s="128">
        <f>I7/I15</f>
        <v>166.84320148558612</v>
      </c>
      <c r="J8" s="128">
        <f>J7/J15</f>
        <v>168.40394237880957</v>
      </c>
      <c r="K8" s="128"/>
      <c r="L8" s="128">
        <f>L7/L15</f>
        <v>187.37587123883446</v>
      </c>
      <c r="M8" s="128">
        <f>M7/M15</f>
        <v>189.12378048546537</v>
      </c>
      <c r="N8" s="128"/>
      <c r="O8" s="128">
        <f>O7/O15</f>
        <v>212.28365410846453</v>
      </c>
      <c r="P8" s="128">
        <f>P7/P15</f>
        <v>214.25838577458975</v>
      </c>
      <c r="Q8" s="128"/>
      <c r="R8">
        <f>C8+F8+I8+L8+O8</f>
        <v>835.839748843852</v>
      </c>
      <c r="S8">
        <f>D8+G8+J8+M8+P8</f>
        <v>862.105437183642</v>
      </c>
    </row>
    <row r="9" spans="1:19" ht="71.25">
      <c r="A9" s="131" t="s">
        <v>9</v>
      </c>
      <c r="B9" s="128">
        <v>1225.5</v>
      </c>
      <c r="C9" s="128">
        <f>C8*1000/C16</f>
        <v>1363.9506099213877</v>
      </c>
      <c r="D9" s="128">
        <f>D8*1000/D16</f>
        <v>1583.546658118731</v>
      </c>
      <c r="E9" s="128"/>
      <c r="F9" s="128">
        <f>F8*1000/F16</f>
        <v>1635.5061504208645</v>
      </c>
      <c r="G9" s="128">
        <f>G8*1000/G16</f>
        <v>1650.834230556018</v>
      </c>
      <c r="H9" s="128"/>
      <c r="I9" s="128">
        <f>I8*1000/I16</f>
        <v>1832.2337083855273</v>
      </c>
      <c r="J9" s="128">
        <f>J8*1000/J16</f>
        <v>1849.3734063124268</v>
      </c>
      <c r="K9" s="128"/>
      <c r="L9" s="128">
        <f>L8*1000/L16</f>
        <v>2039.7982934774054</v>
      </c>
      <c r="M9" s="128">
        <f>M8*1000/M16</f>
        <v>2058.826262632978</v>
      </c>
      <c r="N9" s="128"/>
      <c r="O9" s="128">
        <f>O8*1000/O16</f>
        <v>2291.242893777275</v>
      </c>
      <c r="P9" s="128">
        <f>P8*1000/P16</f>
        <v>2312.556781161249</v>
      </c>
      <c r="Q9" s="128"/>
      <c r="R9">
        <f>O9</f>
        <v>2291.242893777275</v>
      </c>
      <c r="S9">
        <f>P9</f>
        <v>2312.556781161249</v>
      </c>
    </row>
    <row r="10" spans="1:17" ht="12.75">
      <c r="A10" s="128"/>
      <c r="B10" s="128"/>
      <c r="C10" s="128"/>
      <c r="D10" s="128"/>
      <c r="E10" s="128"/>
      <c r="F10" s="128"/>
      <c r="G10" s="128"/>
      <c r="H10" s="128"/>
      <c r="I10" s="128"/>
      <c r="J10" s="128"/>
      <c r="K10" s="128"/>
      <c r="L10" s="128"/>
      <c r="M10" s="128"/>
      <c r="N10" s="128"/>
      <c r="O10" s="128"/>
      <c r="P10" s="128"/>
      <c r="Q10" s="128"/>
    </row>
    <row r="11" spans="1:17" ht="45">
      <c r="A11" s="132" t="s">
        <v>4</v>
      </c>
      <c r="B11" s="128"/>
      <c r="C11" s="128">
        <v>6.5</v>
      </c>
      <c r="D11" s="128">
        <v>7.5</v>
      </c>
      <c r="E11" s="128"/>
      <c r="F11" s="128">
        <v>6.7</v>
      </c>
      <c r="G11" s="128">
        <v>7.7</v>
      </c>
      <c r="H11" s="128"/>
      <c r="I11" s="128">
        <v>6.9</v>
      </c>
      <c r="J11" s="128">
        <v>7.9</v>
      </c>
      <c r="K11" s="128"/>
      <c r="L11" s="128">
        <v>7.2</v>
      </c>
      <c r="M11" s="128">
        <v>8.2</v>
      </c>
      <c r="N11" s="128"/>
      <c r="O11" s="128">
        <v>7.5</v>
      </c>
      <c r="P11" s="128">
        <v>8.5</v>
      </c>
      <c r="Q11" s="128"/>
    </row>
    <row r="12" spans="1:17" ht="12.75">
      <c r="A12" s="128"/>
      <c r="B12" s="128"/>
      <c r="C12" s="128"/>
      <c r="D12" s="128"/>
      <c r="E12" s="128"/>
      <c r="F12" s="128"/>
      <c r="G12" s="128"/>
      <c r="H12" s="128"/>
      <c r="I12" s="128"/>
      <c r="J12" s="128"/>
      <c r="K12" s="128"/>
      <c r="L12" s="128"/>
      <c r="M12" s="128"/>
      <c r="N12" s="128"/>
      <c r="O12" s="128"/>
      <c r="P12" s="128"/>
      <c r="Q12" s="128"/>
    </row>
    <row r="13" spans="1:17" ht="12.75">
      <c r="A13" s="128"/>
      <c r="B13" s="128"/>
      <c r="C13" s="128"/>
      <c r="D13" s="128"/>
      <c r="E13" s="128"/>
      <c r="F13" s="128"/>
      <c r="G13" s="128"/>
      <c r="H13" s="128"/>
      <c r="I13" s="128"/>
      <c r="J13" s="128"/>
      <c r="K13" s="128"/>
      <c r="L13" s="128"/>
      <c r="M13" s="128"/>
      <c r="N13" s="128"/>
      <c r="O13" s="128"/>
      <c r="P13" s="128"/>
      <c r="Q13" s="128"/>
    </row>
    <row r="14" spans="1:17" ht="12.75">
      <c r="A14" s="128" t="s">
        <v>167</v>
      </c>
      <c r="B14" s="128"/>
      <c r="C14" s="133">
        <v>0.08</v>
      </c>
      <c r="D14" s="133">
        <v>0.08</v>
      </c>
      <c r="E14" s="133">
        <v>0.08</v>
      </c>
      <c r="F14" s="133">
        <v>0.08</v>
      </c>
      <c r="G14" s="133">
        <v>0.08</v>
      </c>
      <c r="H14" s="133">
        <v>0.08</v>
      </c>
      <c r="I14" s="133">
        <v>0.08</v>
      </c>
      <c r="J14" s="133">
        <v>0.08</v>
      </c>
      <c r="K14" s="133">
        <v>0.08</v>
      </c>
      <c r="L14" s="133">
        <v>0.08</v>
      </c>
      <c r="M14" s="133">
        <v>0.08</v>
      </c>
      <c r="N14" s="133">
        <v>0.08</v>
      </c>
      <c r="O14" s="133">
        <v>0.08</v>
      </c>
      <c r="P14" s="133">
        <v>0.08</v>
      </c>
      <c r="Q14" s="133">
        <v>0.08</v>
      </c>
    </row>
    <row r="15" spans="1:17" ht="12.75">
      <c r="A15" s="128" t="s">
        <v>171</v>
      </c>
      <c r="B15" s="128"/>
      <c r="C15" s="128">
        <v>18.6</v>
      </c>
      <c r="D15" s="128">
        <v>18.6</v>
      </c>
      <c r="E15" s="128">
        <v>18.6</v>
      </c>
      <c r="F15" s="128">
        <v>19.1</v>
      </c>
      <c r="G15" s="128">
        <v>19.1</v>
      </c>
      <c r="H15" s="128">
        <v>19.1</v>
      </c>
      <c r="I15" s="128">
        <v>19.6</v>
      </c>
      <c r="J15" s="128">
        <v>19.6</v>
      </c>
      <c r="K15" s="128">
        <v>19.6</v>
      </c>
      <c r="L15" s="128">
        <v>20.3</v>
      </c>
      <c r="M15" s="128">
        <v>20.3</v>
      </c>
      <c r="N15" s="128">
        <v>20.3</v>
      </c>
      <c r="O15" s="128">
        <v>20.9</v>
      </c>
      <c r="P15" s="128">
        <v>20.9</v>
      </c>
      <c r="Q15" s="128">
        <v>20.9</v>
      </c>
    </row>
    <row r="16" spans="1:17" ht="14.25">
      <c r="A16" s="128" t="s">
        <v>172</v>
      </c>
      <c r="B16" s="128"/>
      <c r="C16" s="134">
        <v>89.25</v>
      </c>
      <c r="D16" s="134">
        <v>89.25</v>
      </c>
      <c r="E16" s="134">
        <v>89.25</v>
      </c>
      <c r="F16" s="134">
        <v>90.25</v>
      </c>
      <c r="G16" s="134">
        <v>90.25</v>
      </c>
      <c r="H16" s="134">
        <v>90.25</v>
      </c>
      <c r="I16" s="134">
        <v>91.06</v>
      </c>
      <c r="J16" s="134">
        <v>91.06</v>
      </c>
      <c r="K16" s="134">
        <v>91.06</v>
      </c>
      <c r="L16" s="134">
        <v>91.86</v>
      </c>
      <c r="M16" s="134">
        <v>91.86</v>
      </c>
      <c r="N16" s="134">
        <v>91.86</v>
      </c>
      <c r="O16" s="134">
        <v>92.65</v>
      </c>
      <c r="P16" s="134">
        <v>92.65</v>
      </c>
      <c r="Q16" s="134">
        <v>92.65</v>
      </c>
    </row>
  </sheetData>
  <sheetProtection/>
  <mergeCells count="5">
    <mergeCell ref="O5:Q5"/>
    <mergeCell ref="C5:E5"/>
    <mergeCell ref="F5:H5"/>
    <mergeCell ref="I5:K5"/>
    <mergeCell ref="L5:N5"/>
  </mergeCells>
  <printOptions/>
  <pageMargins left="0.28" right="0.16" top="0.7480314960629921" bottom="0.7480314960629921" header="0.31496062992125984" footer="0.31496062992125984"/>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2:L27"/>
  <sheetViews>
    <sheetView zoomScalePageLayoutView="0" workbookViewId="0" topLeftCell="A10">
      <selection activeCell="A28" sqref="A28"/>
    </sheetView>
  </sheetViews>
  <sheetFormatPr defaultColWidth="9.140625" defaultRowHeight="12.75"/>
  <cols>
    <col min="1" max="1" width="23.421875" style="0" bestFit="1" customWidth="1"/>
    <col min="2" max="2" width="9.8515625" style="0" bestFit="1" customWidth="1"/>
  </cols>
  <sheetData>
    <row r="2" spans="2:12" ht="27.75" customHeight="1">
      <c r="B2" t="s">
        <v>184</v>
      </c>
      <c r="C2" s="1374">
        <v>2011</v>
      </c>
      <c r="D2" s="1374"/>
      <c r="E2" s="1374">
        <v>2012</v>
      </c>
      <c r="F2" s="1374"/>
      <c r="G2" s="1374">
        <v>2013</v>
      </c>
      <c r="H2" s="1374"/>
      <c r="I2" s="1374">
        <v>2014</v>
      </c>
      <c r="J2" s="1374"/>
      <c r="K2" s="1374">
        <v>2015</v>
      </c>
      <c r="L2" s="1374"/>
    </row>
    <row r="3" spans="3:12" ht="27.75" customHeight="1">
      <c r="C3" t="s">
        <v>168</v>
      </c>
      <c r="D3" t="s">
        <v>169</v>
      </c>
      <c r="E3" t="s">
        <v>168</v>
      </c>
      <c r="F3" t="s">
        <v>169</v>
      </c>
      <c r="G3" t="s">
        <v>168</v>
      </c>
      <c r="H3" t="s">
        <v>169</v>
      </c>
      <c r="I3" t="s">
        <v>168</v>
      </c>
      <c r="J3" t="s">
        <v>169</v>
      </c>
      <c r="K3" t="s">
        <v>168</v>
      </c>
      <c r="L3" t="s">
        <v>169</v>
      </c>
    </row>
    <row r="4" spans="1:12" ht="27.75" customHeight="1">
      <c r="A4" t="s">
        <v>174</v>
      </c>
      <c r="B4" t="s">
        <v>185</v>
      </c>
      <c r="C4" t="e">
        <f>C5+C7</f>
        <v>#REF!</v>
      </c>
      <c r="D4" t="e">
        <f>D5+C7</f>
        <v>#REF!</v>
      </c>
      <c r="E4" t="e">
        <f>E5+E7</f>
        <v>#REF!</v>
      </c>
      <c r="F4" t="e">
        <f>F5+E7</f>
        <v>#REF!</v>
      </c>
      <c r="G4" t="e">
        <f>G5+G7</f>
        <v>#REF!</v>
      </c>
      <c r="H4" t="e">
        <f>H5+G7</f>
        <v>#REF!</v>
      </c>
      <c r="I4" t="e">
        <f>I5+I7</f>
        <v>#REF!</v>
      </c>
      <c r="J4" t="e">
        <f>J5+I7</f>
        <v>#REF!</v>
      </c>
      <c r="K4" t="e">
        <f>K5+K7</f>
        <v>#REF!</v>
      </c>
      <c r="L4" t="e">
        <f>L5+K7</f>
        <v>#REF!</v>
      </c>
    </row>
    <row r="5" spans="1:12" ht="27.75" customHeight="1">
      <c r="A5" t="s">
        <v>113</v>
      </c>
      <c r="B5" t="s">
        <v>185</v>
      </c>
      <c r="C5">
        <f>Sheet1!C7</f>
        <v>2264.22621</v>
      </c>
      <c r="D5">
        <f>Sheet1!D7</f>
        <v>2628.76662981</v>
      </c>
      <c r="E5">
        <f>Sheet1!F7</f>
        <v>2819.244614441726</v>
      </c>
      <c r="F5">
        <f>Sheet1!G7</f>
        <v>2845.6667757767</v>
      </c>
      <c r="G5">
        <f>Sheet1!I7</f>
        <v>3270.126749117488</v>
      </c>
      <c r="H5">
        <f>Sheet1!J7</f>
        <v>3300.717270624668</v>
      </c>
      <c r="I5">
        <f>Sheet1!L7</f>
        <v>3803.7301861483397</v>
      </c>
      <c r="J5">
        <f>Sheet1!M7</f>
        <v>3839.2127438549473</v>
      </c>
      <c r="K5">
        <f>Sheet1!O7</f>
        <v>4436.728370866908</v>
      </c>
      <c r="L5">
        <f>Sheet1!P7</f>
        <v>4478.000262688925</v>
      </c>
    </row>
    <row r="6" spans="1:11" ht="27.75" customHeight="1">
      <c r="A6" t="s">
        <v>175</v>
      </c>
      <c r="B6" t="s">
        <v>186</v>
      </c>
      <c r="C6" t="e">
        <f>#REF!</f>
        <v>#REF!</v>
      </c>
      <c r="E6" t="e">
        <f>#REF!</f>
        <v>#REF!</v>
      </c>
      <c r="G6" t="e">
        <f>#REF!</f>
        <v>#REF!</v>
      </c>
      <c r="I6" t="e">
        <f>#REF!</f>
        <v>#REF!</v>
      </c>
      <c r="K6" t="e">
        <f>#REF!</f>
        <v>#REF!</v>
      </c>
    </row>
    <row r="7" spans="1:11" ht="27.75" customHeight="1">
      <c r="A7" t="s">
        <v>176</v>
      </c>
      <c r="B7" t="s">
        <v>185</v>
      </c>
      <c r="C7" t="e">
        <f>C6*C17*0.9</f>
        <v>#REF!</v>
      </c>
      <c r="E7" t="e">
        <f>E6*E17*0.9</f>
        <v>#REF!</v>
      </c>
      <c r="G7" t="e">
        <f>G6*G17*0.9</f>
        <v>#REF!</v>
      </c>
      <c r="I7" t="e">
        <f>I6*I17*0.9</f>
        <v>#REF!</v>
      </c>
      <c r="K7" t="e">
        <f>K6*K17*0.9</f>
        <v>#REF!</v>
      </c>
    </row>
    <row r="8" ht="27.75" customHeight="1"/>
    <row r="9" ht="27.75" customHeight="1">
      <c r="A9" t="s">
        <v>177</v>
      </c>
    </row>
    <row r="10" ht="27.75" customHeight="1">
      <c r="A10" t="s">
        <v>178</v>
      </c>
    </row>
    <row r="11" ht="27.75" customHeight="1">
      <c r="A11" t="s">
        <v>179</v>
      </c>
    </row>
    <row r="12" ht="27.75" customHeight="1">
      <c r="A12" t="s">
        <v>180</v>
      </c>
    </row>
    <row r="13" spans="1:11" ht="27.75" customHeight="1">
      <c r="A13" t="s">
        <v>181</v>
      </c>
      <c r="C13" t="e">
        <f>#REF!</f>
        <v>#REF!</v>
      </c>
      <c r="E13" t="e">
        <f>#REF!</f>
        <v>#REF!</v>
      </c>
      <c r="G13" t="e">
        <f>#REF!</f>
        <v>#REF!</v>
      </c>
      <c r="I13" t="e">
        <f>#REF!</f>
        <v>#REF!</v>
      </c>
      <c r="K13" t="e">
        <f>#REF!</f>
        <v>#REF!</v>
      </c>
    </row>
    <row r="14" ht="27.75" customHeight="1">
      <c r="A14" t="s">
        <v>182</v>
      </c>
    </row>
    <row r="15" ht="27.75" customHeight="1">
      <c r="A15" t="s">
        <v>183</v>
      </c>
    </row>
    <row r="16" ht="27.75" customHeight="1"/>
    <row r="17" spans="1:12" ht="27.75" customHeight="1">
      <c r="A17" t="s">
        <v>171</v>
      </c>
      <c r="B17" t="s">
        <v>187</v>
      </c>
      <c r="C17">
        <f>Sheet1!C15</f>
        <v>18.6</v>
      </c>
      <c r="D17">
        <f>Sheet1!D15</f>
        <v>18.6</v>
      </c>
      <c r="E17">
        <f>Sheet1!F15</f>
        <v>19.1</v>
      </c>
      <c r="F17">
        <f>Sheet1!G15</f>
        <v>19.1</v>
      </c>
      <c r="G17">
        <f>Sheet1!I15</f>
        <v>19.6</v>
      </c>
      <c r="H17">
        <f>Sheet1!J15</f>
        <v>19.6</v>
      </c>
      <c r="I17">
        <f>Sheet1!L15</f>
        <v>20.3</v>
      </c>
      <c r="J17">
        <f>Sheet1!M15</f>
        <v>20.3</v>
      </c>
      <c r="K17">
        <f>Sheet1!O15</f>
        <v>20.9</v>
      </c>
      <c r="L17">
        <f>Sheet1!P15</f>
        <v>20.9</v>
      </c>
    </row>
    <row r="19" spans="1:3" ht="18.75" customHeight="1">
      <c r="A19" t="s">
        <v>188</v>
      </c>
      <c r="C19">
        <v>100</v>
      </c>
    </row>
    <row r="20" ht="18.75" customHeight="1">
      <c r="A20" t="s">
        <v>189</v>
      </c>
    </row>
    <row r="21" spans="1:12" ht="18.75" customHeight="1">
      <c r="A21" t="s">
        <v>190</v>
      </c>
      <c r="C21">
        <v>63.2</v>
      </c>
      <c r="D21">
        <v>63.4</v>
      </c>
      <c r="E21">
        <v>63.1</v>
      </c>
      <c r="F21">
        <v>63.3</v>
      </c>
      <c r="G21">
        <v>63</v>
      </c>
      <c r="H21">
        <v>63.2</v>
      </c>
      <c r="I21">
        <v>62.9</v>
      </c>
      <c r="J21">
        <v>63.1</v>
      </c>
      <c r="K21">
        <v>62.7</v>
      </c>
      <c r="L21">
        <v>62.9</v>
      </c>
    </row>
    <row r="22" spans="1:12" ht="18.75" customHeight="1">
      <c r="A22" t="s">
        <v>191</v>
      </c>
      <c r="C22">
        <v>36.8</v>
      </c>
      <c r="D22">
        <v>36.6</v>
      </c>
      <c r="E22">
        <v>36.9</v>
      </c>
      <c r="F22">
        <v>36.7</v>
      </c>
      <c r="G22">
        <v>37</v>
      </c>
      <c r="H22">
        <v>36.8</v>
      </c>
      <c r="I22">
        <v>37.1</v>
      </c>
      <c r="J22">
        <v>36.9</v>
      </c>
      <c r="K22">
        <v>37.3</v>
      </c>
      <c r="L22">
        <v>37.1</v>
      </c>
    </row>
    <row r="23" ht="18.75" customHeight="1"/>
    <row r="24" ht="18.75" customHeight="1">
      <c r="A24" t="s">
        <v>40</v>
      </c>
    </row>
    <row r="25" ht="18.75" customHeight="1">
      <c r="A25" t="s">
        <v>192</v>
      </c>
    </row>
    <row r="26" ht="18.75" customHeight="1">
      <c r="A26" t="s">
        <v>193</v>
      </c>
    </row>
    <row r="27" ht="18.75" customHeight="1">
      <c r="A27" t="s">
        <v>194</v>
      </c>
    </row>
  </sheetData>
  <sheetProtection/>
  <mergeCells count="5">
    <mergeCell ref="K2:L2"/>
    <mergeCell ref="C2:D2"/>
    <mergeCell ref="E2:F2"/>
    <mergeCell ref="G2:H2"/>
    <mergeCell ref="I2:J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pageSetUpPr fitToPage="1"/>
  </sheetPr>
  <dimension ref="A1:V65"/>
  <sheetViews>
    <sheetView zoomScalePageLayoutView="0" workbookViewId="0" topLeftCell="A1">
      <pane xSplit="2" ySplit="20" topLeftCell="C21" activePane="bottomRight" state="frozen"/>
      <selection pane="topLeft" activeCell="C40" sqref="C40"/>
      <selection pane="topRight" activeCell="C40" sqref="C40"/>
      <selection pane="bottomLeft" activeCell="C40" sqref="C40"/>
      <selection pane="bottomRight" activeCell="C40" sqref="C40"/>
    </sheetView>
  </sheetViews>
  <sheetFormatPr defaultColWidth="9.140625" defaultRowHeight="12.75"/>
  <cols>
    <col min="1" max="1" width="4.421875" style="335" customWidth="1"/>
    <col min="2" max="2" width="36.57421875" style="252" customWidth="1"/>
    <col min="3" max="3" width="14.8515625" style="251" customWidth="1"/>
    <col min="4" max="4" width="14.8515625" style="252" customWidth="1"/>
    <col min="5" max="7" width="14.8515625" style="253" customWidth="1"/>
    <col min="8" max="8" width="14.8515625" style="336" customWidth="1"/>
    <col min="9" max="9" width="13.8515625" style="254" hidden="1" customWidth="1"/>
    <col min="10" max="10" width="12.140625" style="254" customWidth="1"/>
    <col min="11" max="12" width="9.140625" style="245" customWidth="1"/>
    <col min="13" max="13" width="10.140625" style="245" bestFit="1" customWidth="1"/>
    <col min="14" max="16384" width="9.140625" style="245" customWidth="1"/>
  </cols>
  <sheetData>
    <row r="1" spans="1:14" s="206" customFormat="1" ht="30.75" customHeight="1">
      <c r="A1" s="1286" t="s">
        <v>280</v>
      </c>
      <c r="B1" s="1286"/>
      <c r="C1" s="1286"/>
      <c r="D1" s="1286"/>
      <c r="E1" s="1286"/>
      <c r="F1" s="1286"/>
      <c r="G1" s="1286"/>
      <c r="H1" s="1286"/>
      <c r="I1" s="205"/>
      <c r="J1" s="205"/>
      <c r="K1" s="205"/>
      <c r="L1" s="205"/>
      <c r="M1" s="205"/>
      <c r="N1" s="205"/>
    </row>
    <row r="2" spans="1:10" ht="45" customHeight="1">
      <c r="A2" s="1290" t="s">
        <v>286</v>
      </c>
      <c r="B2" s="1291"/>
      <c r="C2" s="1291"/>
      <c r="D2" s="1291"/>
      <c r="E2" s="1291"/>
      <c r="F2" s="1291"/>
      <c r="G2" s="1291"/>
      <c r="H2" s="1291"/>
      <c r="I2" s="1291"/>
      <c r="J2" s="244"/>
    </row>
    <row r="3" spans="1:10" ht="12.75" customHeight="1">
      <c r="A3" s="246"/>
      <c r="B3" s="244"/>
      <c r="C3" s="247"/>
      <c r="D3" s="244"/>
      <c r="E3" s="244"/>
      <c r="F3" s="244"/>
      <c r="G3" s="244"/>
      <c r="H3" s="244"/>
      <c r="I3" s="248"/>
      <c r="J3" s="248"/>
    </row>
    <row r="4" spans="1:9" ht="27.75" customHeight="1">
      <c r="A4" s="249"/>
      <c r="B4" s="250"/>
      <c r="F4" s="1292" t="s">
        <v>285</v>
      </c>
      <c r="G4" s="1292"/>
      <c r="H4" s="1292"/>
      <c r="I4" s="1293"/>
    </row>
    <row r="5" spans="1:10" s="262" customFormat="1" ht="39.75" customHeight="1">
      <c r="A5" s="255"/>
      <c r="B5" s="256" t="s">
        <v>278</v>
      </c>
      <c r="C5" s="257" t="s">
        <v>277</v>
      </c>
      <c r="D5" s="258">
        <v>2011</v>
      </c>
      <c r="E5" s="259">
        <v>2012</v>
      </c>
      <c r="F5" s="259">
        <v>2013</v>
      </c>
      <c r="G5" s="259">
        <v>2014</v>
      </c>
      <c r="H5" s="259">
        <v>2015</v>
      </c>
      <c r="I5" s="260">
        <v>2011</v>
      </c>
      <c r="J5" s="261"/>
    </row>
    <row r="6" spans="1:12" s="270" customFormat="1" ht="52.5" customHeight="1" hidden="1">
      <c r="A6" s="263"/>
      <c r="B6" s="264" t="s">
        <v>215</v>
      </c>
      <c r="C6" s="265"/>
      <c r="D6" s="266"/>
      <c r="E6" s="266"/>
      <c r="F6" s="266"/>
      <c r="G6" s="266"/>
      <c r="H6" s="267"/>
      <c r="I6" s="268">
        <f>'[4]cc2011'!H5</f>
        <v>152000.05204045697</v>
      </c>
      <c r="J6" s="269"/>
      <c r="L6" s="271"/>
    </row>
    <row r="7" spans="1:22" s="281" customFormat="1" ht="46.5" customHeight="1" hidden="1">
      <c r="A7" s="272" t="s">
        <v>3</v>
      </c>
      <c r="B7" s="273" t="s">
        <v>274</v>
      </c>
      <c r="C7" s="274"/>
      <c r="D7" s="275"/>
      <c r="E7" s="276"/>
      <c r="F7" s="276"/>
      <c r="G7" s="276"/>
      <c r="H7" s="277"/>
      <c r="I7" s="278">
        <f>'[4]cc2011'!H6</f>
        <v>10080</v>
      </c>
      <c r="J7" s="279"/>
      <c r="K7" s="280"/>
      <c r="M7" s="282"/>
      <c r="N7" s="280"/>
      <c r="P7" s="282"/>
      <c r="Q7" s="280"/>
      <c r="S7" s="282"/>
      <c r="T7" s="280"/>
      <c r="V7" s="282"/>
    </row>
    <row r="8" spans="1:22" ht="47.25" hidden="1">
      <c r="A8" s="283"/>
      <c r="B8" s="284" t="s">
        <v>273</v>
      </c>
      <c r="C8" s="285"/>
      <c r="D8" s="286">
        <f>+'[4]cc2006'!C7+'[4]cc2006'!C8</f>
        <v>120</v>
      </c>
      <c r="E8" s="287">
        <f>+'[4]cc2007'!C8</f>
        <v>220</v>
      </c>
      <c r="F8" s="287">
        <f>+'[4]cc2008'!C8</f>
        <v>200</v>
      </c>
      <c r="G8" s="288">
        <f>+'[4]cc2009'!C8</f>
        <v>200</v>
      </c>
      <c r="H8" s="288">
        <f>+'[4]cc2010'!H8</f>
        <v>200</v>
      </c>
      <c r="I8" s="289">
        <f>'[4]cc2011'!H7</f>
        <v>180</v>
      </c>
      <c r="J8" s="290"/>
      <c r="K8" s="291"/>
      <c r="M8" s="292"/>
      <c r="N8" s="291"/>
      <c r="P8" s="292"/>
      <c r="Q8" s="291"/>
      <c r="S8" s="292"/>
      <c r="T8" s="291"/>
      <c r="V8" s="292"/>
    </row>
    <row r="9" spans="1:22" ht="47.25" hidden="1">
      <c r="A9" s="283"/>
      <c r="B9" s="284" t="s">
        <v>272</v>
      </c>
      <c r="C9" s="285"/>
      <c r="D9" s="286">
        <f>+'[4]cc2006'!C9</f>
        <v>300</v>
      </c>
      <c r="E9" s="287">
        <f>+'[4]cc2007'!C9</f>
        <v>200</v>
      </c>
      <c r="F9" s="287">
        <f>+'[4]cc2008'!C9</f>
        <v>200</v>
      </c>
      <c r="G9" s="288">
        <f>+'[4]cc2009'!C9</f>
        <v>200</v>
      </c>
      <c r="H9" s="288">
        <f>+'[4]cc2010'!H9</f>
        <v>200</v>
      </c>
      <c r="I9" s="289">
        <f>'[4]cc2011'!H8</f>
        <v>200</v>
      </c>
      <c r="J9" s="290"/>
      <c r="K9" s="291"/>
      <c r="M9" s="292"/>
      <c r="N9" s="291"/>
      <c r="P9" s="292"/>
      <c r="Q9" s="291"/>
      <c r="S9" s="292"/>
      <c r="T9" s="291"/>
      <c r="V9" s="292"/>
    </row>
    <row r="10" spans="1:22" ht="31.5" hidden="1">
      <c r="A10" s="283"/>
      <c r="B10" s="284" t="s">
        <v>271</v>
      </c>
      <c r="C10" s="285"/>
      <c r="D10" s="286">
        <f>+'[4]cc2006'!C10</f>
        <v>2000</v>
      </c>
      <c r="E10" s="287">
        <f>+'[4]cc2007'!C10</f>
        <v>2500</v>
      </c>
      <c r="F10" s="287">
        <f>+'[4]cc2008'!C10</f>
        <v>2300</v>
      </c>
      <c r="G10" s="288">
        <f>+'[4]cc2009'!C10</f>
        <v>3700</v>
      </c>
      <c r="H10" s="288">
        <f>+'[4]cc2010'!H10</f>
        <v>3700</v>
      </c>
      <c r="I10" s="289">
        <f>'[4]cc2011'!H9</f>
        <v>4500</v>
      </c>
      <c r="J10" s="290"/>
      <c r="K10" s="291"/>
      <c r="M10" s="292"/>
      <c r="N10" s="291"/>
      <c r="P10" s="292"/>
      <c r="Q10" s="291"/>
      <c r="S10" s="292"/>
      <c r="T10" s="291"/>
      <c r="V10" s="292"/>
    </row>
    <row r="11" spans="1:10" ht="15.75" hidden="1">
      <c r="A11" s="283"/>
      <c r="B11" s="293" t="s">
        <v>270</v>
      </c>
      <c r="C11" s="285"/>
      <c r="D11" s="287"/>
      <c r="E11" s="287"/>
      <c r="F11" s="287">
        <f>+'[4]cc2008'!C11</f>
        <v>120</v>
      </c>
      <c r="G11" s="288"/>
      <c r="H11" s="288"/>
      <c r="I11" s="289"/>
      <c r="J11" s="290"/>
    </row>
    <row r="12" spans="1:10" ht="31.5" hidden="1">
      <c r="A12" s="283"/>
      <c r="B12" s="294" t="s">
        <v>269</v>
      </c>
      <c r="C12" s="295"/>
      <c r="D12" s="287"/>
      <c r="E12" s="287"/>
      <c r="F12" s="287"/>
      <c r="G12" s="288">
        <f>+'[4]cc2009'!C11</f>
        <v>4900</v>
      </c>
      <c r="H12" s="288">
        <f>+'[4]cc2010'!H11</f>
        <v>3500</v>
      </c>
      <c r="I12" s="289">
        <f>'[4]cc2011'!H10</f>
        <v>3500</v>
      </c>
      <c r="J12" s="290"/>
    </row>
    <row r="13" spans="1:10" ht="78.75" hidden="1">
      <c r="A13" s="283"/>
      <c r="B13" s="294" t="s">
        <v>268</v>
      </c>
      <c r="C13" s="295"/>
      <c r="D13" s="287">
        <f>+'[4]cc2006'!C11</f>
        <v>150</v>
      </c>
      <c r="E13" s="287" t="e">
        <f>+'[4]cc2007'!C11</f>
        <v>#REF!</v>
      </c>
      <c r="F13" s="287"/>
      <c r="G13" s="288">
        <f>+'[4]cc2009'!C12</f>
        <v>160</v>
      </c>
      <c r="H13" s="288">
        <f>+'[4]cc2010'!H12</f>
        <v>300</v>
      </c>
      <c r="I13" s="289">
        <f>'[4]cc2011'!H11</f>
        <v>820</v>
      </c>
      <c r="J13" s="290"/>
    </row>
    <row r="14" spans="1:10" ht="15.75" hidden="1">
      <c r="A14" s="283"/>
      <c r="B14" s="296" t="s">
        <v>267</v>
      </c>
      <c r="C14" s="297"/>
      <c r="D14" s="287"/>
      <c r="E14" s="287">
        <f>+'[4]cc2007'!C13</f>
        <v>100</v>
      </c>
      <c r="F14" s="287"/>
      <c r="G14" s="288"/>
      <c r="H14" s="288"/>
      <c r="I14" s="289"/>
      <c r="J14" s="290"/>
    </row>
    <row r="15" spans="1:10" ht="15.75" hidden="1">
      <c r="A15" s="283"/>
      <c r="B15" s="293" t="s">
        <v>266</v>
      </c>
      <c r="C15" s="285"/>
      <c r="D15" s="287"/>
      <c r="E15" s="287">
        <f>+'[4]cc2007'!C12</f>
        <v>1000</v>
      </c>
      <c r="F15" s="287">
        <f>+'[4]cc2008'!C12</f>
        <v>600</v>
      </c>
      <c r="G15" s="288">
        <f>+'[4]cc2009'!C13</f>
        <v>800</v>
      </c>
      <c r="H15" s="288">
        <f>+'[4]cc2010'!H13</f>
        <v>800</v>
      </c>
      <c r="I15" s="289">
        <f>'[4]cc2011'!H12</f>
        <v>880</v>
      </c>
      <c r="J15" s="290"/>
    </row>
    <row r="16" spans="1:10" s="281" customFormat="1" ht="45.75" customHeight="1">
      <c r="A16" s="272"/>
      <c r="B16" s="298" t="s">
        <v>215</v>
      </c>
      <c r="C16" s="274" t="e">
        <f>+D16+E16+F16+G16+H16</f>
        <v>#REF!</v>
      </c>
      <c r="D16" s="276" t="e">
        <f>+D21+D33+D53+D55</f>
        <v>#REF!</v>
      </c>
      <c r="E16" s="276" t="e">
        <f>+E21+E33+E53+E55</f>
        <v>#REF!</v>
      </c>
      <c r="F16" s="276" t="e">
        <f>+F21+F33+F53+F55</f>
        <v>#REF!</v>
      </c>
      <c r="G16" s="276" t="e">
        <f>+G21+G33+G53+G55</f>
        <v>#REF!</v>
      </c>
      <c r="H16" s="276" t="e">
        <f>+H21+H33+H53+H55</f>
        <v>#REF!</v>
      </c>
      <c r="I16" s="276">
        <f>'[4]cc2006-2010'!I14</f>
        <v>880</v>
      </c>
      <c r="J16" s="269"/>
    </row>
    <row r="17" spans="1:10" s="281" customFormat="1" ht="45.75" customHeight="1" hidden="1">
      <c r="A17" s="272"/>
      <c r="B17" s="298" t="s">
        <v>215</v>
      </c>
      <c r="C17" s="274">
        <f>+D17+E17+F17+G17+H17</f>
        <v>1287000</v>
      </c>
      <c r="D17" s="276">
        <v>167000</v>
      </c>
      <c r="E17" s="276">
        <v>210000</v>
      </c>
      <c r="F17" s="276">
        <v>260000</v>
      </c>
      <c r="G17" s="276">
        <v>300000</v>
      </c>
      <c r="H17" s="276">
        <v>350000</v>
      </c>
      <c r="I17" s="276">
        <f>'[4]cc2006-2010'!I15</f>
        <v>141425.55204045697</v>
      </c>
      <c r="J17" s="279"/>
    </row>
    <row r="18" spans="1:10" s="281" customFormat="1" ht="30.75" customHeight="1" hidden="1">
      <c r="A18" s="272"/>
      <c r="B18" s="298"/>
      <c r="C18" s="274"/>
      <c r="D18" s="274">
        <v>170000</v>
      </c>
      <c r="E18" s="274">
        <v>210000</v>
      </c>
      <c r="F18" s="274">
        <v>260000</v>
      </c>
      <c r="G18" s="274">
        <v>300000</v>
      </c>
      <c r="H18" s="274">
        <v>350000</v>
      </c>
      <c r="I18" s="274">
        <f>+I21+I33+I53+I55</f>
        <v>141425.55204045697</v>
      </c>
      <c r="J18" s="279"/>
    </row>
    <row r="19" spans="1:10" s="281" customFormat="1" ht="36" customHeight="1" hidden="1">
      <c r="A19" s="272"/>
      <c r="B19" s="298"/>
      <c r="C19" s="274"/>
      <c r="D19" s="274">
        <v>45000</v>
      </c>
      <c r="E19" s="274">
        <v>45000</v>
      </c>
      <c r="F19" s="274">
        <v>45000</v>
      </c>
      <c r="G19" s="274">
        <v>45000</v>
      </c>
      <c r="H19" s="274">
        <v>45000</v>
      </c>
      <c r="I19" s="274"/>
      <c r="J19" s="279"/>
    </row>
    <row r="20" spans="1:10" s="281" customFormat="1" ht="45.75" customHeight="1" hidden="1">
      <c r="A20" s="272"/>
      <c r="B20" s="298"/>
      <c r="C20" s="299" t="e">
        <f aca="true" t="shared" si="0" ref="C20:H20">+C24+C26+C28+C30+C32+C36+C38+C40+C42+C44+C46+C48+C50+C52+C54+C56</f>
        <v>#REF!</v>
      </c>
      <c r="D20" s="299">
        <f t="shared" si="0"/>
        <v>100</v>
      </c>
      <c r="E20" s="299">
        <f t="shared" si="0"/>
        <v>100</v>
      </c>
      <c r="F20" s="299">
        <f t="shared" si="0"/>
        <v>100</v>
      </c>
      <c r="G20" s="299">
        <f t="shared" si="0"/>
        <v>100.00000000000001</v>
      </c>
      <c r="H20" s="299">
        <f t="shared" si="0"/>
        <v>100.00000000000001</v>
      </c>
      <c r="I20" s="274"/>
      <c r="J20" s="279"/>
    </row>
    <row r="21" spans="1:10" s="270" customFormat="1" ht="40.5" customHeight="1">
      <c r="A21" s="272" t="s">
        <v>101</v>
      </c>
      <c r="B21" s="298" t="s">
        <v>265</v>
      </c>
      <c r="C21" s="300" t="e">
        <f>+D21+E21+F21+G21+H21</f>
        <v>#REF!</v>
      </c>
      <c r="D21" s="300" t="e">
        <f aca="true" t="shared" si="1" ref="D21:I21">+D23+D25+D27+D29+D31</f>
        <v>#REF!</v>
      </c>
      <c r="E21" s="300" t="e">
        <f t="shared" si="1"/>
        <v>#REF!</v>
      </c>
      <c r="F21" s="300" t="e">
        <f t="shared" si="1"/>
        <v>#REF!</v>
      </c>
      <c r="G21" s="300" t="e">
        <f t="shared" si="1"/>
        <v>#REF!</v>
      </c>
      <c r="H21" s="300" t="e">
        <f t="shared" si="1"/>
        <v>#REF!</v>
      </c>
      <c r="I21" s="274">
        <f t="shared" si="1"/>
        <v>66858.44406704056</v>
      </c>
      <c r="J21" s="279"/>
    </row>
    <row r="22" spans="1:22" s="307" customFormat="1" ht="28.5" customHeight="1">
      <c r="A22" s="301"/>
      <c r="B22" s="302" t="s">
        <v>217</v>
      </c>
      <c r="C22" s="303" t="e">
        <f aca="true" t="shared" si="2" ref="C22:H22">100*C21/C$63</f>
        <v>#REF!</v>
      </c>
      <c r="D22" s="304" t="e">
        <f t="shared" si="2"/>
        <v>#REF!</v>
      </c>
      <c r="E22" s="303" t="e">
        <f t="shared" si="2"/>
        <v>#REF!</v>
      </c>
      <c r="F22" s="303" t="e">
        <f t="shared" si="2"/>
        <v>#REF!</v>
      </c>
      <c r="G22" s="303" t="e">
        <f t="shared" si="2"/>
        <v>#REF!</v>
      </c>
      <c r="H22" s="303" t="e">
        <f t="shared" si="2"/>
        <v>#REF!</v>
      </c>
      <c r="I22" s="303"/>
      <c r="J22" s="305"/>
      <c r="K22" s="306"/>
      <c r="M22" s="308"/>
      <c r="N22" s="306"/>
      <c r="P22" s="308"/>
      <c r="Q22" s="306"/>
      <c r="S22" s="308"/>
      <c r="T22" s="306"/>
      <c r="V22" s="308"/>
    </row>
    <row r="23" spans="1:20" ht="40.5" customHeight="1">
      <c r="A23" s="283">
        <v>1</v>
      </c>
      <c r="B23" s="293" t="s">
        <v>264</v>
      </c>
      <c r="C23" s="309" t="e">
        <f>+D23+E23+F23+G23+H23</f>
        <v>#REF!</v>
      </c>
      <c r="D23" s="310" t="e">
        <f>+D24*D$63/100</f>
        <v>#REF!</v>
      </c>
      <c r="E23" s="309" t="e">
        <f>+E24*E$63/100</f>
        <v>#REF!</v>
      </c>
      <c r="F23" s="309" t="e">
        <f>+F24*F$63/100</f>
        <v>#REF!</v>
      </c>
      <c r="G23" s="309" t="e">
        <f>+G24*G$63/100</f>
        <v>#REF!</v>
      </c>
      <c r="H23" s="309" t="e">
        <f>+H24*H$63/100</f>
        <v>#REF!</v>
      </c>
      <c r="I23" s="287">
        <f>+I24*I$17/100</f>
        <v>2137</v>
      </c>
      <c r="J23" s="311"/>
      <c r="K23" s="291"/>
      <c r="M23" s="292"/>
      <c r="N23" s="291"/>
      <c r="P23" s="292"/>
      <c r="Q23" s="291"/>
      <c r="S23" s="292"/>
      <c r="T23" s="291"/>
    </row>
    <row r="24" spans="1:22" s="307" customFormat="1" ht="22.5" customHeight="1">
      <c r="A24" s="301"/>
      <c r="B24" s="302" t="s">
        <v>217</v>
      </c>
      <c r="C24" s="303" t="e">
        <f>100*C23/C$63</f>
        <v>#REF!</v>
      </c>
      <c r="D24" s="304">
        <v>4.3</v>
      </c>
      <c r="E24" s="303">
        <v>4.2</v>
      </c>
      <c r="F24" s="303">
        <v>4.1</v>
      </c>
      <c r="G24" s="303">
        <v>4</v>
      </c>
      <c r="H24" s="303">
        <v>3.9</v>
      </c>
      <c r="I24" s="312">
        <f>'[4]cc2006-2010'!I32</f>
        <v>1.5110423605690986</v>
      </c>
      <c r="J24" s="305"/>
      <c r="K24" s="306"/>
      <c r="M24" s="308"/>
      <c r="N24" s="306"/>
      <c r="P24" s="308"/>
      <c r="Q24" s="306"/>
      <c r="S24" s="308"/>
      <c r="T24" s="306"/>
      <c r="V24" s="308"/>
    </row>
    <row r="25" spans="1:20" ht="40.5" customHeight="1">
      <c r="A25" s="283">
        <f>+A23+1</f>
        <v>2</v>
      </c>
      <c r="B25" s="293" t="s">
        <v>263</v>
      </c>
      <c r="C25" s="309" t="e">
        <f>+D25+E25+F25+G25+H25</f>
        <v>#REF!</v>
      </c>
      <c r="D25" s="309" t="e">
        <f>+D26*D$63/100</f>
        <v>#REF!</v>
      </c>
      <c r="E25" s="309" t="e">
        <f>+E26*E$63/100</f>
        <v>#REF!</v>
      </c>
      <c r="F25" s="309" t="e">
        <f>+F26*F$63/100</f>
        <v>#REF!</v>
      </c>
      <c r="G25" s="309" t="e">
        <f>+G26*G$63/100</f>
        <v>#REF!</v>
      </c>
      <c r="H25" s="309" t="e">
        <f>+H26*H$63/100</f>
        <v>#REF!</v>
      </c>
      <c r="I25" s="287">
        <f>+I26*I$17/100</f>
        <v>29715.15436937331</v>
      </c>
      <c r="J25" s="290"/>
      <c r="K25" s="291"/>
      <c r="M25" s="292"/>
      <c r="N25" s="291"/>
      <c r="P25" s="292"/>
      <c r="Q25" s="291"/>
      <c r="S25" s="292"/>
      <c r="T25" s="291"/>
    </row>
    <row r="26" spans="1:22" s="307" customFormat="1" ht="22.5" customHeight="1">
      <c r="A26" s="301"/>
      <c r="B26" s="302" t="s">
        <v>217</v>
      </c>
      <c r="C26" s="303" t="e">
        <f>100*C25/C$63</f>
        <v>#REF!</v>
      </c>
      <c r="D26" s="304">
        <v>21.5</v>
      </c>
      <c r="E26" s="303">
        <v>21.6</v>
      </c>
      <c r="F26" s="303">
        <v>21.7</v>
      </c>
      <c r="G26" s="303">
        <v>21.8</v>
      </c>
      <c r="H26" s="303">
        <v>21.8</v>
      </c>
      <c r="I26" s="312">
        <f>'[4]cc2006-2010'!I69</f>
        <v>21.011163782392615</v>
      </c>
      <c r="J26" s="313"/>
      <c r="K26" s="306"/>
      <c r="M26" s="308"/>
      <c r="N26" s="306"/>
      <c r="P26" s="308"/>
      <c r="Q26" s="306"/>
      <c r="S26" s="308"/>
      <c r="T26" s="306"/>
      <c r="V26" s="308"/>
    </row>
    <row r="27" spans="1:10" ht="40.5" customHeight="1">
      <c r="A27" s="283">
        <f>+A25+1</f>
        <v>3</v>
      </c>
      <c r="B27" s="293" t="s">
        <v>262</v>
      </c>
      <c r="C27" s="309" t="e">
        <f>+D27+E27+F27+G27+H27</f>
        <v>#REF!</v>
      </c>
      <c r="D27" s="309" t="e">
        <f>+D28*D$63/100</f>
        <v>#REF!</v>
      </c>
      <c r="E27" s="309" t="e">
        <f>+E28*E$63/100</f>
        <v>#REF!</v>
      </c>
      <c r="F27" s="309" t="e">
        <f>+F28*F$63/100</f>
        <v>#REF!</v>
      </c>
      <c r="G27" s="309" t="e">
        <f>+G28*G$63/100</f>
        <v>#REF!</v>
      </c>
      <c r="H27" s="309" t="e">
        <f>+H28*H$63/100</f>
        <v>#REF!</v>
      </c>
      <c r="I27" s="287">
        <f>+I28*I$17/100</f>
        <v>32348.157614015763</v>
      </c>
      <c r="J27" s="290"/>
    </row>
    <row r="28" spans="1:10" s="307" customFormat="1" ht="22.5" customHeight="1">
      <c r="A28" s="301"/>
      <c r="B28" s="314" t="s">
        <v>217</v>
      </c>
      <c r="C28" s="303" t="e">
        <f>100*C27/C$63</f>
        <v>#REF!</v>
      </c>
      <c r="D28" s="303">
        <v>28.3</v>
      </c>
      <c r="E28" s="303">
        <v>28.5</v>
      </c>
      <c r="F28" s="303">
        <v>28.7</v>
      </c>
      <c r="G28" s="303">
        <v>28.9</v>
      </c>
      <c r="H28" s="303">
        <v>30</v>
      </c>
      <c r="I28" s="312">
        <f>'[4]cc2006-2010'!I101</f>
        <v>22.87292299538776</v>
      </c>
      <c r="J28" s="313"/>
    </row>
    <row r="29" spans="1:10" ht="39.75" customHeight="1">
      <c r="A29" s="283">
        <f>+A27+1</f>
        <v>4</v>
      </c>
      <c r="B29" s="293" t="s">
        <v>228</v>
      </c>
      <c r="C29" s="309" t="e">
        <f>+D29+E29+F29+G29+H29</f>
        <v>#REF!</v>
      </c>
      <c r="D29" s="309" t="e">
        <f>+D30*D$63/100</f>
        <v>#REF!</v>
      </c>
      <c r="E29" s="309" t="e">
        <f>+E30*E$63/100</f>
        <v>#REF!</v>
      </c>
      <c r="F29" s="309" t="e">
        <f>+F30*F$63/100</f>
        <v>#REF!</v>
      </c>
      <c r="G29" s="309" t="e">
        <f>+G30*G$63/100</f>
        <v>#REF!</v>
      </c>
      <c r="H29" s="309" t="e">
        <f>+H30*H$63/100</f>
        <v>#REF!</v>
      </c>
      <c r="I29" s="287">
        <f>+I30*I$17/100</f>
        <v>1558.5831768189735</v>
      </c>
      <c r="J29" s="290"/>
    </row>
    <row r="30" spans="1:10" s="307" customFormat="1" ht="22.5" customHeight="1">
      <c r="A30" s="301"/>
      <c r="B30" s="314" t="s">
        <v>217</v>
      </c>
      <c r="C30" s="303" t="e">
        <f>100*C29/C$63</f>
        <v>#REF!</v>
      </c>
      <c r="D30" s="303">
        <v>1</v>
      </c>
      <c r="E30" s="303">
        <v>0.9</v>
      </c>
      <c r="F30" s="303">
        <v>0.8</v>
      </c>
      <c r="G30" s="303">
        <v>0.7</v>
      </c>
      <c r="H30" s="303">
        <v>0.5</v>
      </c>
      <c r="I30" s="312">
        <f>'[4]cc2006-2010'!I117</f>
        <v>1.1020520368010418</v>
      </c>
      <c r="J30" s="313"/>
    </row>
    <row r="31" spans="1:10" ht="40.5" customHeight="1">
      <c r="A31" s="283">
        <f>+A29+1</f>
        <v>5</v>
      </c>
      <c r="B31" s="293" t="s">
        <v>261</v>
      </c>
      <c r="C31" s="309" t="e">
        <f>+D31+E31+F31+G31+H31</f>
        <v>#REF!</v>
      </c>
      <c r="D31" s="309" t="e">
        <f>+D32*D$63/100</f>
        <v>#REF!</v>
      </c>
      <c r="E31" s="309" t="e">
        <f>+E32*E$63/100</f>
        <v>#REF!</v>
      </c>
      <c r="F31" s="309" t="e">
        <f>+F32*F$63/100</f>
        <v>#REF!</v>
      </c>
      <c r="G31" s="309" t="e">
        <f>+G32*G$63/100</f>
        <v>#REF!</v>
      </c>
      <c r="H31" s="309" t="e">
        <f>+H32*H$63/100</f>
        <v>#REF!</v>
      </c>
      <c r="I31" s="287">
        <f>+I32*I$17/100</f>
        <v>1099.548906832512</v>
      </c>
      <c r="J31" s="290"/>
    </row>
    <row r="32" spans="1:10" s="307" customFormat="1" ht="22.5" customHeight="1">
      <c r="A32" s="301"/>
      <c r="B32" s="314" t="s">
        <v>217</v>
      </c>
      <c r="C32" s="303" t="e">
        <f>100*C31/C$63</f>
        <v>#REF!</v>
      </c>
      <c r="D32" s="303">
        <v>0.8</v>
      </c>
      <c r="E32" s="303">
        <v>0.7</v>
      </c>
      <c r="F32" s="303">
        <v>0.6</v>
      </c>
      <c r="G32" s="303">
        <v>0.5</v>
      </c>
      <c r="H32" s="303">
        <v>0.4</v>
      </c>
      <c r="I32" s="312">
        <f>'[4]cc2006-2010'!I126</f>
        <v>0.7774754214980679</v>
      </c>
      <c r="J32" s="313"/>
    </row>
    <row r="33" spans="1:16" s="270" customFormat="1" ht="40.5" customHeight="1">
      <c r="A33" s="272" t="s">
        <v>102</v>
      </c>
      <c r="B33" s="298" t="s">
        <v>260</v>
      </c>
      <c r="C33" s="300" t="e">
        <f>+D33+E33+F33+G33+H33</f>
        <v>#REF!</v>
      </c>
      <c r="D33" s="300" t="e">
        <f aca="true" t="shared" si="3" ref="D33:I33">+D35+D37+D39+D41+D43+D45+D47+D49+D51</f>
        <v>#REF!</v>
      </c>
      <c r="E33" s="300" t="e">
        <f t="shared" si="3"/>
        <v>#REF!</v>
      </c>
      <c r="F33" s="300" t="e">
        <f t="shared" si="3"/>
        <v>#REF!</v>
      </c>
      <c r="G33" s="300" t="e">
        <f t="shared" si="3"/>
        <v>#REF!</v>
      </c>
      <c r="H33" s="300" t="e">
        <f t="shared" si="3"/>
        <v>#REF!</v>
      </c>
      <c r="I33" s="274">
        <f t="shared" si="3"/>
        <v>68161.3079734164</v>
      </c>
      <c r="J33" s="279"/>
      <c r="M33" s="270" t="s">
        <v>259</v>
      </c>
      <c r="N33" s="270" t="s">
        <v>257</v>
      </c>
      <c r="O33" s="270" t="s">
        <v>256</v>
      </c>
      <c r="P33" s="270" t="s">
        <v>254</v>
      </c>
    </row>
    <row r="34" spans="1:10" s="307" customFormat="1" ht="24" customHeight="1">
      <c r="A34" s="301"/>
      <c r="B34" s="314" t="s">
        <v>217</v>
      </c>
      <c r="C34" s="303" t="e">
        <f aca="true" t="shared" si="4" ref="C34:H34">100*C33/C$63</f>
        <v>#REF!</v>
      </c>
      <c r="D34" s="303" t="e">
        <f t="shared" si="4"/>
        <v>#REF!</v>
      </c>
      <c r="E34" s="303" t="e">
        <f t="shared" si="4"/>
        <v>#REF!</v>
      </c>
      <c r="F34" s="303" t="e">
        <f t="shared" si="4"/>
        <v>#REF!</v>
      </c>
      <c r="G34" s="303" t="e">
        <f t="shared" si="4"/>
        <v>#REF!</v>
      </c>
      <c r="H34" s="303" t="e">
        <f t="shared" si="4"/>
        <v>#REF!</v>
      </c>
      <c r="I34" s="303"/>
      <c r="J34" s="313"/>
    </row>
    <row r="35" spans="1:13" ht="40.5" customHeight="1">
      <c r="A35" s="283">
        <f>+A31+1</f>
        <v>6</v>
      </c>
      <c r="B35" s="293" t="s">
        <v>258</v>
      </c>
      <c r="C35" s="309" t="e">
        <f>+D35+E35+F35+G35+H35</f>
        <v>#REF!</v>
      </c>
      <c r="D35" s="309" t="e">
        <f>+D36*D$63/100</f>
        <v>#REF!</v>
      </c>
      <c r="E35" s="309" t="e">
        <f>+E36*E$63/100</f>
        <v>#REF!</v>
      </c>
      <c r="F35" s="309" t="e">
        <f>+F36*F$63/100</f>
        <v>#REF!</v>
      </c>
      <c r="G35" s="309" t="e">
        <f>+G36*G$63/100</f>
        <v>#REF!</v>
      </c>
      <c r="H35" s="309" t="e">
        <f>+H36*H$63/100</f>
        <v>#REF!</v>
      </c>
      <c r="I35" s="287">
        <f>+I36*I$17/100</f>
        <v>5609.594388896713</v>
      </c>
      <c r="J35" s="290"/>
      <c r="L35" s="245" t="s">
        <v>257</v>
      </c>
      <c r="M35" s="245">
        <v>0.1</v>
      </c>
    </row>
    <row r="36" spans="1:13" s="307" customFormat="1" ht="22.5" customHeight="1">
      <c r="A36" s="301"/>
      <c r="B36" s="314" t="s">
        <v>217</v>
      </c>
      <c r="C36" s="303" t="e">
        <f>100*C35/C$63</f>
        <v>#REF!</v>
      </c>
      <c r="D36" s="303">
        <v>3</v>
      </c>
      <c r="E36" s="303">
        <v>3</v>
      </c>
      <c r="F36" s="303">
        <v>3</v>
      </c>
      <c r="G36" s="303">
        <v>3</v>
      </c>
      <c r="H36" s="303">
        <v>3</v>
      </c>
      <c r="I36" s="312">
        <f>'[4]cc2006-2010'!I138</f>
        <v>3.9664645518173423</v>
      </c>
      <c r="J36" s="313"/>
      <c r="L36" s="307" t="s">
        <v>256</v>
      </c>
      <c r="M36" s="307">
        <v>0.25</v>
      </c>
    </row>
    <row r="37" spans="1:13" ht="40.5" customHeight="1">
      <c r="A37" s="283">
        <f>+A35+1</f>
        <v>7</v>
      </c>
      <c r="B37" s="293" t="s">
        <v>255</v>
      </c>
      <c r="C37" s="309" t="e">
        <f>+D37+E37+F37+G37+H37</f>
        <v>#REF!</v>
      </c>
      <c r="D37" s="309" t="e">
        <f>+D38*D$63/100</f>
        <v>#REF!</v>
      </c>
      <c r="E37" s="309" t="e">
        <f>+E38*E$63/100</f>
        <v>#REF!</v>
      </c>
      <c r="F37" s="309" t="e">
        <f>+F38*F$63/100</f>
        <v>#REF!</v>
      </c>
      <c r="G37" s="309" t="e">
        <f>+G38*G$63/100</f>
        <v>#REF!</v>
      </c>
      <c r="H37" s="309" t="e">
        <f>+H38*H$63/100</f>
        <v>#REF!</v>
      </c>
      <c r="I37" s="287">
        <f>+I38*I$17/100</f>
        <v>5019.7</v>
      </c>
      <c r="J37" s="290"/>
      <c r="L37" s="245" t="s">
        <v>254</v>
      </c>
      <c r="M37" s="245">
        <v>0.55</v>
      </c>
    </row>
    <row r="38" spans="1:10" s="307" customFormat="1" ht="22.5" customHeight="1">
      <c r="A38" s="301"/>
      <c r="B38" s="314" t="s">
        <v>217</v>
      </c>
      <c r="C38" s="303" t="e">
        <f>100*C37/C$63</f>
        <v>#REF!</v>
      </c>
      <c r="D38" s="303">
        <v>2.8</v>
      </c>
      <c r="E38" s="303">
        <v>3</v>
      </c>
      <c r="F38" s="303">
        <v>3.2</v>
      </c>
      <c r="G38" s="303">
        <v>3.3</v>
      </c>
      <c r="H38" s="303">
        <v>3.4</v>
      </c>
      <c r="I38" s="312">
        <f>'[4]cc2006-2010'!I153</f>
        <v>3.549358604281097</v>
      </c>
      <c r="J38" s="313"/>
    </row>
    <row r="39" spans="1:22" ht="40.5" customHeight="1">
      <c r="A39" s="283">
        <f>+A37+1</f>
        <v>8</v>
      </c>
      <c r="B39" s="284" t="s">
        <v>253</v>
      </c>
      <c r="C39" s="309" t="e">
        <f>+D39+E39+F39+G39+H39</f>
        <v>#REF!</v>
      </c>
      <c r="D39" s="310" t="e">
        <f>+D40*D$63/100</f>
        <v>#REF!</v>
      </c>
      <c r="E39" s="309" t="e">
        <f>+E40*E$63/100</f>
        <v>#REF!</v>
      </c>
      <c r="F39" s="309" t="e">
        <f>+F40*F$63/100</f>
        <v>#REF!</v>
      </c>
      <c r="G39" s="309" t="e">
        <f>+G40*G$63/100</f>
        <v>#REF!</v>
      </c>
      <c r="H39" s="309" t="e">
        <f>+H40*H$63/100</f>
        <v>#REF!</v>
      </c>
      <c r="I39" s="287">
        <f>+I40*I$17/100</f>
        <v>2954.3022918643965</v>
      </c>
      <c r="J39" s="290"/>
      <c r="K39" s="291"/>
      <c r="M39" s="292"/>
      <c r="N39" s="291"/>
      <c r="P39" s="292"/>
      <c r="Q39" s="291"/>
      <c r="S39" s="292"/>
      <c r="T39" s="291"/>
      <c r="V39" s="292"/>
    </row>
    <row r="40" spans="1:10" s="307" customFormat="1" ht="22.5" customHeight="1">
      <c r="A40" s="301"/>
      <c r="B40" s="314" t="s">
        <v>217</v>
      </c>
      <c r="C40" s="303" t="e">
        <f>100*C39/C$63</f>
        <v>#REF!</v>
      </c>
      <c r="D40" s="303">
        <v>1.7</v>
      </c>
      <c r="E40" s="303">
        <v>1.7</v>
      </c>
      <c r="F40" s="303">
        <v>1.8</v>
      </c>
      <c r="G40" s="303">
        <v>1.9</v>
      </c>
      <c r="H40" s="303">
        <v>1.9</v>
      </c>
      <c r="I40" s="312">
        <f>'[4]cc2006-2010'!I162</f>
        <v>2.0889452077367694</v>
      </c>
      <c r="J40" s="313"/>
    </row>
    <row r="41" spans="1:12" ht="40.5" customHeight="1">
      <c r="A41" s="283">
        <f>+A39+1</f>
        <v>9</v>
      </c>
      <c r="B41" s="293" t="s">
        <v>234</v>
      </c>
      <c r="C41" s="309" t="e">
        <f>+D41+E41+F41+G41+H41</f>
        <v>#REF!</v>
      </c>
      <c r="D41" s="309" t="e">
        <f>+D42*D$63/100</f>
        <v>#REF!</v>
      </c>
      <c r="E41" s="309" t="e">
        <f>+E42*E$63/100</f>
        <v>#REF!</v>
      </c>
      <c r="F41" s="309" t="e">
        <f>+F42*F$63/100</f>
        <v>#REF!</v>
      </c>
      <c r="G41" s="309" t="e">
        <f>+G42*G$63/100</f>
        <v>#REF!</v>
      </c>
      <c r="H41" s="309" t="e">
        <f>+H42*H$63/100</f>
        <v>#REF!</v>
      </c>
      <c r="I41" s="287">
        <f>+I42*I$17/100</f>
        <v>24837.7</v>
      </c>
      <c r="J41" s="290"/>
      <c r="L41" s="245" t="s">
        <v>252</v>
      </c>
    </row>
    <row r="42" spans="1:10" s="307" customFormat="1" ht="22.5" customHeight="1">
      <c r="A42" s="301"/>
      <c r="B42" s="314" t="s">
        <v>217</v>
      </c>
      <c r="C42" s="303" t="e">
        <f>100*C41/C$63</f>
        <v>#REF!</v>
      </c>
      <c r="D42" s="303">
        <v>15.8</v>
      </c>
      <c r="E42" s="303">
        <v>16</v>
      </c>
      <c r="F42" s="303">
        <v>16.2</v>
      </c>
      <c r="G42" s="303">
        <v>16.4</v>
      </c>
      <c r="H42" s="303">
        <v>16.5</v>
      </c>
      <c r="I42" s="312">
        <f>'[4]cc2006-2010'!I190</f>
        <v>17.562385044037015</v>
      </c>
      <c r="J42" s="313"/>
    </row>
    <row r="43" spans="1:13" ht="40.5" customHeight="1">
      <c r="A43" s="283">
        <f>+A41+1</f>
        <v>10</v>
      </c>
      <c r="B43" s="293" t="s">
        <v>251</v>
      </c>
      <c r="C43" s="309" t="e">
        <f>+D43+E43+F43+G43+H43</f>
        <v>#REF!</v>
      </c>
      <c r="D43" s="309" t="e">
        <f>+D44*D$63/100</f>
        <v>#REF!</v>
      </c>
      <c r="E43" s="309" t="e">
        <f>+E44*E$63/100</f>
        <v>#REF!</v>
      </c>
      <c r="F43" s="309" t="e">
        <f>+F44*F$63/100</f>
        <v>#REF!</v>
      </c>
      <c r="G43" s="309" t="e">
        <f>+G44*G$63/100</f>
        <v>#REF!</v>
      </c>
      <c r="H43" s="309" t="e">
        <f>+H44*H$63/100</f>
        <v>#REF!</v>
      </c>
      <c r="I43" s="287">
        <f>+I44*I$17/100</f>
        <v>8018.572504599956</v>
      </c>
      <c r="J43" s="290"/>
      <c r="K43" s="245" t="s">
        <v>251</v>
      </c>
      <c r="L43" s="245">
        <f>+'[4]cc2010'!C154</f>
        <v>5678.5351351351355</v>
      </c>
      <c r="M43" s="245">
        <f>+L43/(L43+L45)</f>
        <v>0.6189692805260986</v>
      </c>
    </row>
    <row r="44" spans="1:10" s="307" customFormat="1" ht="22.5" customHeight="1">
      <c r="A44" s="301"/>
      <c r="B44" s="314" t="s">
        <v>217</v>
      </c>
      <c r="C44" s="303" t="e">
        <f>100*C43/C$63</f>
        <v>#REF!</v>
      </c>
      <c r="D44" s="303">
        <v>6.1</v>
      </c>
      <c r="E44" s="303">
        <v>6</v>
      </c>
      <c r="F44" s="303">
        <v>5.9</v>
      </c>
      <c r="G44" s="303">
        <v>5.9</v>
      </c>
      <c r="H44" s="303">
        <v>5.8</v>
      </c>
      <c r="I44" s="312">
        <f>'[4]cc2006-2010'!I212</f>
        <v>5.669818776670653</v>
      </c>
      <c r="J44" s="313"/>
    </row>
    <row r="45" spans="1:13" ht="40.5" customHeight="1">
      <c r="A45" s="283">
        <f>+A43+1</f>
        <v>11</v>
      </c>
      <c r="B45" s="293" t="s">
        <v>250</v>
      </c>
      <c r="C45" s="309" t="e">
        <f>+D45+E45+F45+G45+H45</f>
        <v>#REF!</v>
      </c>
      <c r="D45" s="309" t="e">
        <f>+D46*D$63/100</f>
        <v>#REF!</v>
      </c>
      <c r="E45" s="309" t="e">
        <f>+E46*E$63/100</f>
        <v>#REF!</v>
      </c>
      <c r="F45" s="309" t="e">
        <f>+F46*F$63/100</f>
        <v>#REF!</v>
      </c>
      <c r="G45" s="309" t="e">
        <f>+G46*G$63/100</f>
        <v>#REF!</v>
      </c>
      <c r="H45" s="309" t="e">
        <f>+H46*H$63/100</f>
        <v>#REF!</v>
      </c>
      <c r="I45" s="287">
        <f>+I46*I$17/100</f>
        <v>5461.431251255277</v>
      </c>
      <c r="J45" s="290"/>
      <c r="K45" s="245" t="s">
        <v>250</v>
      </c>
      <c r="L45" s="245">
        <f>+'[4]cc2010'!C170</f>
        <v>3495.644123500466</v>
      </c>
      <c r="M45" s="245">
        <f>+L45/(L43+L45)</f>
        <v>0.38103071947390127</v>
      </c>
    </row>
    <row r="46" spans="1:10" s="307" customFormat="1" ht="24.75" customHeight="1">
      <c r="A46" s="301"/>
      <c r="B46" s="314" t="s">
        <v>217</v>
      </c>
      <c r="C46" s="303" t="e">
        <f>100*C45/C$63</f>
        <v>#REF!</v>
      </c>
      <c r="D46" s="303">
        <v>2.8</v>
      </c>
      <c r="E46" s="303">
        <v>2.9</v>
      </c>
      <c r="F46" s="303">
        <v>2.9</v>
      </c>
      <c r="G46" s="303">
        <v>3</v>
      </c>
      <c r="H46" s="303">
        <v>3</v>
      </c>
      <c r="I46" s="312">
        <f>'[4]cc2006-2010'!I236</f>
        <v>3.861700500693786</v>
      </c>
      <c r="J46" s="313"/>
    </row>
    <row r="47" spans="1:12" ht="40.5" customHeight="1">
      <c r="A47" s="283">
        <v>12</v>
      </c>
      <c r="B47" s="293" t="s">
        <v>249</v>
      </c>
      <c r="C47" s="309" t="e">
        <f>+D47+E47+F47+G47+H47</f>
        <v>#REF!</v>
      </c>
      <c r="D47" s="309" t="e">
        <f>+D48*D$63/100</f>
        <v>#REF!</v>
      </c>
      <c r="E47" s="309" t="e">
        <f>+E48*E$63/100</f>
        <v>#REF!</v>
      </c>
      <c r="F47" s="309" t="e">
        <f>+F48*F$63/100</f>
        <v>#REF!</v>
      </c>
      <c r="G47" s="309" t="e">
        <f>+G48*G$63/100</f>
        <v>#REF!</v>
      </c>
      <c r="H47" s="309" t="e">
        <f>+H48*H$63/100</f>
        <v>#REF!</v>
      </c>
      <c r="I47" s="287">
        <f>+I48*I$17/100</f>
        <v>3899.979185976318</v>
      </c>
      <c r="J47" s="290"/>
      <c r="K47" s="245" t="s">
        <v>248</v>
      </c>
      <c r="L47" s="245">
        <f>+'[4]cc2010'!H192+'[4]cc2010'!H211</f>
        <v>4522.533988113533</v>
      </c>
    </row>
    <row r="48" spans="1:13" s="307" customFormat="1" ht="22.5" customHeight="1">
      <c r="A48" s="301"/>
      <c r="B48" s="314" t="s">
        <v>217</v>
      </c>
      <c r="C48" s="303" t="e">
        <f>100*C47/C$63</f>
        <v>#REF!</v>
      </c>
      <c r="D48" s="303">
        <v>1.9</v>
      </c>
      <c r="E48" s="303">
        <v>1.8</v>
      </c>
      <c r="F48" s="303">
        <v>1.7</v>
      </c>
      <c r="G48" s="303">
        <v>1.5</v>
      </c>
      <c r="H48" s="303">
        <v>1.2</v>
      </c>
      <c r="I48" s="312">
        <f>'[4]cc2006-2010'!I270</f>
        <v>2.7576199135928907</v>
      </c>
      <c r="J48" s="313"/>
      <c r="K48" s="245" t="s">
        <v>247</v>
      </c>
      <c r="L48" s="307">
        <f>+'[4]cc2010'!H192-580</f>
        <v>3116.5592327232416</v>
      </c>
      <c r="M48" s="307">
        <f>+L48/L47</f>
        <v>0.6891179239148714</v>
      </c>
    </row>
    <row r="49" spans="1:13" ht="40.5" customHeight="1">
      <c r="A49" s="283">
        <v>13</v>
      </c>
      <c r="B49" s="293" t="s">
        <v>246</v>
      </c>
      <c r="C49" s="309" t="e">
        <f>+D49+E49+F49+G49+H49</f>
        <v>#REF!</v>
      </c>
      <c r="D49" s="309" t="e">
        <f>+D50*D$63/100</f>
        <v>#REF!</v>
      </c>
      <c r="E49" s="309" t="e">
        <f>+E50*E$63/100</f>
        <v>#REF!</v>
      </c>
      <c r="F49" s="309" t="e">
        <f>+F50*F$63/100</f>
        <v>#REF!</v>
      </c>
      <c r="G49" s="309" t="e">
        <f>+G50*G$63/100</f>
        <v>#REF!</v>
      </c>
      <c r="H49" s="309" t="e">
        <f>+H50*H$63/100</f>
        <v>#REF!</v>
      </c>
      <c r="I49" s="287">
        <f>+I50*I$17/100</f>
        <v>1089.2936307293148</v>
      </c>
      <c r="J49" s="290"/>
      <c r="K49" s="245" t="s">
        <v>245</v>
      </c>
      <c r="L49" s="307">
        <f>+'[4]cc2010'!H211+580</f>
        <v>1405.9747553902912</v>
      </c>
      <c r="M49" s="245">
        <f>+L49/L47</f>
        <v>0.3108820760851285</v>
      </c>
    </row>
    <row r="50" spans="1:10" s="307" customFormat="1" ht="22.5" customHeight="1">
      <c r="A50" s="301"/>
      <c r="B50" s="314" t="s">
        <v>217</v>
      </c>
      <c r="C50" s="303" t="e">
        <f>100*C49/C$63</f>
        <v>#REF!</v>
      </c>
      <c r="D50" s="303">
        <v>0.8</v>
      </c>
      <c r="E50" s="303">
        <v>0.7</v>
      </c>
      <c r="F50" s="303">
        <v>0.6</v>
      </c>
      <c r="G50" s="303">
        <v>0.5</v>
      </c>
      <c r="H50" s="303">
        <v>0.4</v>
      </c>
      <c r="I50" s="312">
        <f>'[4]cc2006-2010'!I275</f>
        <v>0.7702240613617725</v>
      </c>
      <c r="J50" s="313"/>
    </row>
    <row r="51" spans="1:10" ht="40.5" customHeight="1">
      <c r="A51" s="283">
        <f>+A49+1</f>
        <v>14</v>
      </c>
      <c r="B51" s="293" t="s">
        <v>244</v>
      </c>
      <c r="C51" s="309" t="e">
        <f>+D51+E51+F51+G51+H51</f>
        <v>#REF!</v>
      </c>
      <c r="D51" s="309" t="e">
        <f>+D52*D$63/100</f>
        <v>#REF!</v>
      </c>
      <c r="E51" s="309" t="e">
        <f>+E52*E$63/100</f>
        <v>#REF!</v>
      </c>
      <c r="F51" s="309" t="e">
        <f>+F52*F$63/100</f>
        <v>#REF!</v>
      </c>
      <c r="G51" s="309" t="e">
        <f>+G52*G$63/100</f>
        <v>#REF!</v>
      </c>
      <c r="H51" s="309" t="e">
        <f>+H52*H$63/100</f>
        <v>#REF!</v>
      </c>
      <c r="I51" s="287">
        <f>+I52*I$17/100</f>
        <v>11270.734720094428</v>
      </c>
      <c r="J51" s="290"/>
    </row>
    <row r="52" spans="1:10" s="307" customFormat="1" ht="22.5" customHeight="1">
      <c r="A52" s="301"/>
      <c r="B52" s="314" t="s">
        <v>217</v>
      </c>
      <c r="C52" s="303" t="e">
        <f>100*C51/C$63</f>
        <v>#REF!</v>
      </c>
      <c r="D52" s="303">
        <v>6</v>
      </c>
      <c r="E52" s="303">
        <v>5.8</v>
      </c>
      <c r="F52" s="303">
        <v>5.6</v>
      </c>
      <c r="G52" s="303">
        <v>5.4</v>
      </c>
      <c r="H52" s="303">
        <v>5</v>
      </c>
      <c r="I52" s="312">
        <f>'[4]cc2006-2010'!I294</f>
        <v>7.96937650762732</v>
      </c>
      <c r="J52" s="313"/>
    </row>
    <row r="53" spans="1:13" s="270" customFormat="1" ht="40.5" customHeight="1">
      <c r="A53" s="272" t="s">
        <v>115</v>
      </c>
      <c r="B53" s="298" t="s">
        <v>243</v>
      </c>
      <c r="C53" s="300" t="e">
        <f>+D53+E53+F53+G53+H53</f>
        <v>#REF!</v>
      </c>
      <c r="D53" s="315" t="e">
        <f>+D54*D$63/100</f>
        <v>#REF!</v>
      </c>
      <c r="E53" s="315" t="e">
        <f>+E54*E$63/100</f>
        <v>#REF!</v>
      </c>
      <c r="F53" s="315" t="e">
        <f>+F54*F$63/100</f>
        <v>#REF!</v>
      </c>
      <c r="G53" s="315" t="e">
        <f>+G54*G$63/100</f>
        <v>#REF!</v>
      </c>
      <c r="H53" s="315" t="e">
        <f>+H54*H$63/100</f>
        <v>#REF!</v>
      </c>
      <c r="I53" s="276">
        <f>+I54*I$17/100</f>
        <v>4635.8</v>
      </c>
      <c r="J53" s="279"/>
      <c r="K53" s="270" t="s">
        <v>243</v>
      </c>
      <c r="L53" s="270">
        <v>3150</v>
      </c>
      <c r="M53" s="245">
        <f>+L53/(L53+L55)</f>
        <v>0.7682926829268293</v>
      </c>
    </row>
    <row r="54" spans="1:10" s="307" customFormat="1" ht="22.5" customHeight="1">
      <c r="A54" s="301"/>
      <c r="B54" s="314" t="s">
        <v>217</v>
      </c>
      <c r="C54" s="303" t="e">
        <f>100*C53/C$63</f>
        <v>#REF!</v>
      </c>
      <c r="D54" s="303">
        <v>2.4</v>
      </c>
      <c r="E54" s="303">
        <v>2.4</v>
      </c>
      <c r="F54" s="303">
        <v>2.4</v>
      </c>
      <c r="G54" s="303">
        <v>2.4</v>
      </c>
      <c r="H54" s="303">
        <v>2.4</v>
      </c>
      <c r="I54" s="312">
        <f>'[4]cc2006-2010'!I302</f>
        <v>3.2779083645887823</v>
      </c>
      <c r="J54" s="313"/>
    </row>
    <row r="55" spans="1:13" s="270" customFormat="1" ht="40.5" customHeight="1">
      <c r="A55" s="272" t="s">
        <v>116</v>
      </c>
      <c r="B55" s="298" t="s">
        <v>242</v>
      </c>
      <c r="C55" s="300" t="e">
        <f>+D55+E55+F55+G55+H55</f>
        <v>#REF!</v>
      </c>
      <c r="D55" s="315" t="e">
        <f>+D56*D$63/100</f>
        <v>#REF!</v>
      </c>
      <c r="E55" s="315" t="e">
        <f>+E56*E$63/100</f>
        <v>#REF!</v>
      </c>
      <c r="F55" s="315" t="e">
        <f>+F56*F$63/100</f>
        <v>#REF!</v>
      </c>
      <c r="G55" s="315" t="e">
        <f>+G56*G$63/100</f>
        <v>#REF!</v>
      </c>
      <c r="H55" s="315" t="e">
        <f>+H56*H$63/100</f>
        <v>#REF!</v>
      </c>
      <c r="I55" s="276">
        <f>+I56*I$17/100</f>
        <v>1770</v>
      </c>
      <c r="J55" s="279"/>
      <c r="K55" s="270" t="s">
        <v>242</v>
      </c>
      <c r="L55" s="270">
        <v>950</v>
      </c>
      <c r="M55" s="270">
        <f>+L55/(L53+L55)</f>
        <v>0.23170731707317074</v>
      </c>
    </row>
    <row r="56" spans="1:10" s="307" customFormat="1" ht="22.5" customHeight="1">
      <c r="A56" s="301"/>
      <c r="B56" s="314" t="s">
        <v>217</v>
      </c>
      <c r="C56" s="303" t="e">
        <f>100*C55/C$63</f>
        <v>#REF!</v>
      </c>
      <c r="D56" s="303">
        <v>0.8</v>
      </c>
      <c r="E56" s="303">
        <v>0.8</v>
      </c>
      <c r="F56" s="303">
        <v>0.8</v>
      </c>
      <c r="G56" s="303">
        <v>0.8</v>
      </c>
      <c r="H56" s="303">
        <v>0.8</v>
      </c>
      <c r="I56" s="312">
        <f>'[4]cc2006-2010'!I310</f>
        <v>1.251541870943989</v>
      </c>
      <c r="J56" s="313"/>
    </row>
    <row r="57" spans="1:12" s="270" customFormat="1" ht="40.5" customHeight="1" hidden="1">
      <c r="A57" s="316" t="s">
        <v>116</v>
      </c>
      <c r="B57" s="317" t="s">
        <v>241</v>
      </c>
      <c r="C57" s="318" t="e">
        <f>'[4]cc2006-2010'!C311</f>
        <v>#REF!</v>
      </c>
      <c r="D57" s="319">
        <f>'[4]cc2006-2010'!D311</f>
        <v>943</v>
      </c>
      <c r="E57" s="319">
        <f>'[4]cc2006-2010'!E311</f>
        <v>889.56</v>
      </c>
      <c r="F57" s="319">
        <f>'[4]cc2006-2010'!F311</f>
        <v>477</v>
      </c>
      <c r="G57" s="319">
        <f>'[4]cc2006-2010'!G311</f>
        <v>191.2</v>
      </c>
      <c r="H57" s="320">
        <f>'[4]cc2006-2010'!H311</f>
        <v>482.2</v>
      </c>
      <c r="I57" s="321">
        <f>'[4]cc2006-2010'!I311</f>
        <v>494.5</v>
      </c>
      <c r="J57" s="279"/>
      <c r="L57" s="270">
        <f>247.4+3244.7</f>
        <v>3492.1</v>
      </c>
    </row>
    <row r="58" spans="1:10" ht="9.75" customHeight="1" hidden="1">
      <c r="A58" s="322"/>
      <c r="B58" s="323"/>
      <c r="C58" s="324"/>
      <c r="D58" s="325"/>
      <c r="E58" s="326"/>
      <c r="F58" s="326"/>
      <c r="G58" s="326"/>
      <c r="H58" s="327"/>
      <c r="I58" s="328"/>
      <c r="J58" s="290"/>
    </row>
    <row r="59" spans="1:10" s="270" customFormat="1" ht="22.5" customHeight="1" hidden="1">
      <c r="A59" s="272"/>
      <c r="B59" s="298" t="s">
        <v>240</v>
      </c>
      <c r="C59" s="274"/>
      <c r="D59" s="298"/>
      <c r="E59" s="276"/>
      <c r="F59" s="276"/>
      <c r="G59" s="276"/>
      <c r="H59" s="277"/>
      <c r="I59" s="278" t="e">
        <f>#REF!+#REF!</f>
        <v>#REF!</v>
      </c>
      <c r="J59" s="279"/>
    </row>
    <row r="60" spans="1:10" s="270" customFormat="1" ht="33.75" customHeight="1" hidden="1">
      <c r="A60" s="272" t="s">
        <v>239</v>
      </c>
      <c r="B60" s="298" t="s">
        <v>238</v>
      </c>
      <c r="C60" s="274"/>
      <c r="D60" s="298"/>
      <c r="E60" s="276">
        <f>+'[4]cc2007'!C244</f>
        <v>207</v>
      </c>
      <c r="F60" s="276"/>
      <c r="G60" s="276"/>
      <c r="H60" s="277"/>
      <c r="I60" s="278"/>
      <c r="J60" s="279"/>
    </row>
    <row r="61" spans="1:10" ht="9.75" customHeight="1">
      <c r="A61" s="329"/>
      <c r="B61" s="330"/>
      <c r="C61" s="331"/>
      <c r="D61" s="330"/>
      <c r="E61" s="332"/>
      <c r="F61" s="332"/>
      <c r="G61" s="332"/>
      <c r="H61" s="333"/>
      <c r="I61" s="334"/>
      <c r="J61" s="290"/>
    </row>
    <row r="62" ht="42" customHeight="1"/>
    <row r="63" spans="1:10" s="281" customFormat="1" ht="28.5" customHeight="1">
      <c r="A63" s="272"/>
      <c r="B63" s="298" t="s">
        <v>174</v>
      </c>
      <c r="C63" s="274" t="e">
        <f>+D63+E63+F63+G63+H63</f>
        <v>#REF!</v>
      </c>
      <c r="D63" s="276" t="e">
        <f>1000*(#REF!+#REF!)</f>
        <v>#REF!</v>
      </c>
      <c r="E63" s="276" t="e">
        <f>1000*(#REF!+#REF!)</f>
        <v>#REF!</v>
      </c>
      <c r="F63" s="276" t="e">
        <f>1000*(#REF!+#REF!)</f>
        <v>#REF!</v>
      </c>
      <c r="G63" s="276" t="e">
        <f>1000*(#REF!+#REF!)</f>
        <v>#REF!</v>
      </c>
      <c r="H63" s="276" t="e">
        <f>1000*(#REF!+#REF!)</f>
        <v>#REF!</v>
      </c>
      <c r="I63" s="276"/>
      <c r="J63" s="279"/>
    </row>
    <row r="64" ht="15.75">
      <c r="A64" s="337"/>
    </row>
    <row r="65" spans="1:10" ht="15.75">
      <c r="A65" s="245"/>
      <c r="B65" s="338"/>
      <c r="C65" s="339"/>
      <c r="D65" s="338"/>
      <c r="E65" s="338"/>
      <c r="F65" s="340"/>
      <c r="G65" s="338"/>
      <c r="H65" s="341"/>
      <c r="I65" s="342"/>
      <c r="J65" s="342"/>
    </row>
  </sheetData>
  <sheetProtection/>
  <mergeCells count="3">
    <mergeCell ref="A1:H1"/>
    <mergeCell ref="A2:I2"/>
    <mergeCell ref="F4:I4"/>
  </mergeCells>
  <printOptions horizontalCentered="1"/>
  <pageMargins left="0.7086614173228347" right="0.7086614173228347" top="0.78" bottom="0.65" header="0.31496062992125984" footer="0.31496062992125984"/>
  <pageSetup fitToHeight="0" fitToWidth="1" horizontalDpi="1200" verticalDpi="1200" orientation="landscape" paperSize="9" r:id="rId1"/>
  <headerFooter alignWithMargins="0">
    <oddHeader>&amp;R&amp;P</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U121"/>
  <sheetViews>
    <sheetView zoomScale="70" zoomScaleNormal="70" zoomScaleSheetLayoutView="70" zoomScalePageLayoutView="0" workbookViewId="0" topLeftCell="A4">
      <pane xSplit="2" ySplit="1" topLeftCell="C64" activePane="bottomRight" state="frozen"/>
      <selection pane="topLeft" activeCell="A4" sqref="A4"/>
      <selection pane="topRight" activeCell="C4" sqref="C4"/>
      <selection pane="bottomLeft" activeCell="A5" sqref="A5"/>
      <selection pane="bottomRight" activeCell="K59" sqref="K59"/>
    </sheetView>
  </sheetViews>
  <sheetFormatPr defaultColWidth="9.140625" defaultRowHeight="44.25" customHeight="1"/>
  <cols>
    <col min="1" max="1" width="6.421875" style="435" customWidth="1"/>
    <col min="2" max="2" width="31.57421875" style="436" customWidth="1"/>
    <col min="3" max="3" width="13.421875" style="437" customWidth="1"/>
    <col min="4" max="4" width="12.140625" style="437" customWidth="1"/>
    <col min="5" max="5" width="12.7109375" style="437" customWidth="1"/>
    <col min="6" max="6" width="12.421875" style="438" customWidth="1"/>
    <col min="7" max="7" width="14.57421875" style="438" customWidth="1"/>
    <col min="8" max="8" width="12.7109375" style="438" customWidth="1"/>
    <col min="9" max="9" width="14.421875" style="438" customWidth="1"/>
    <col min="10" max="10" width="14.140625" style="438" customWidth="1"/>
    <col min="11" max="11" width="13.7109375" style="609" customWidth="1"/>
    <col min="12" max="12" width="17.8515625" style="435" customWidth="1"/>
    <col min="13" max="13" width="15.8515625" style="438" customWidth="1"/>
    <col min="14" max="14" width="11.57421875" style="438" bestFit="1" customWidth="1"/>
    <col min="15" max="15" width="14.57421875" style="438" customWidth="1"/>
    <col min="16" max="16" width="17.28125" style="438" customWidth="1"/>
    <col min="17" max="16384" width="9.140625" style="438" customWidth="1"/>
  </cols>
  <sheetData>
    <row r="1" spans="2:12" ht="30.75" customHeight="1">
      <c r="B1" s="779" t="s">
        <v>371</v>
      </c>
      <c r="J1" s="780" t="s">
        <v>357</v>
      </c>
      <c r="K1" s="1296" t="s">
        <v>358</v>
      </c>
      <c r="L1" s="1296"/>
    </row>
    <row r="2" spans="2:12" ht="27" customHeight="1">
      <c r="B2" s="1297" t="s">
        <v>463</v>
      </c>
      <c r="C2" s="1297"/>
      <c r="D2" s="1297"/>
      <c r="E2" s="1297"/>
      <c r="F2" s="1297"/>
      <c r="G2" s="1297"/>
      <c r="H2" s="1297"/>
      <c r="I2" s="1297"/>
      <c r="J2" s="1297"/>
      <c r="K2" s="1297"/>
      <c r="L2" s="1297"/>
    </row>
    <row r="3" spans="2:12" ht="45" customHeight="1">
      <c r="B3" s="1298" t="s">
        <v>794</v>
      </c>
      <c r="C3" s="1298"/>
      <c r="D3" s="1298"/>
      <c r="E3" s="1298"/>
      <c r="F3" s="1298"/>
      <c r="G3" s="1298"/>
      <c r="H3" s="1298"/>
      <c r="I3" s="1298"/>
      <c r="J3" s="1298"/>
      <c r="K3" s="1298"/>
      <c r="L3" s="1298"/>
    </row>
    <row r="4" spans="1:12" s="440" customFormat="1" ht="82.5">
      <c r="A4" s="439" t="s">
        <v>0</v>
      </c>
      <c r="B4" s="439" t="s">
        <v>287</v>
      </c>
      <c r="C4" s="439" t="s">
        <v>184</v>
      </c>
      <c r="D4" s="439" t="s">
        <v>297</v>
      </c>
      <c r="E4" s="439" t="s">
        <v>464</v>
      </c>
      <c r="F4" s="439" t="s">
        <v>298</v>
      </c>
      <c r="G4" s="439" t="s">
        <v>299</v>
      </c>
      <c r="H4" s="439" t="s">
        <v>300</v>
      </c>
      <c r="I4" s="439" t="s">
        <v>799</v>
      </c>
      <c r="J4" s="439" t="s">
        <v>301</v>
      </c>
      <c r="K4" s="439" t="s">
        <v>302</v>
      </c>
      <c r="L4" s="439" t="s">
        <v>405</v>
      </c>
    </row>
    <row r="5" spans="1:12" s="443" customFormat="1" ht="30" customHeight="1">
      <c r="A5" s="441" t="s">
        <v>3</v>
      </c>
      <c r="B5" s="442" t="s">
        <v>288</v>
      </c>
      <c r="C5" s="420"/>
      <c r="D5" s="1018"/>
      <c r="E5" s="1018"/>
      <c r="F5" s="891"/>
      <c r="G5" s="891"/>
      <c r="H5" s="891"/>
      <c r="I5" s="891"/>
      <c r="J5" s="891"/>
      <c r="K5" s="891"/>
      <c r="L5" s="441"/>
    </row>
    <row r="6" spans="1:12" s="443" customFormat="1" ht="27" customHeight="1" hidden="1">
      <c r="A6" s="441"/>
      <c r="B6" s="451" t="s">
        <v>465</v>
      </c>
      <c r="C6" s="420"/>
      <c r="D6" s="1018"/>
      <c r="E6" s="1018"/>
      <c r="F6" s="969"/>
      <c r="G6" s="969"/>
      <c r="H6" s="969"/>
      <c r="I6" s="969"/>
      <c r="J6" s="969"/>
      <c r="K6" s="711"/>
      <c r="L6" s="441"/>
    </row>
    <row r="7" spans="1:12" s="448" customFormat="1" ht="63.75" customHeight="1">
      <c r="A7" s="441">
        <v>1</v>
      </c>
      <c r="B7" s="442" t="s">
        <v>795</v>
      </c>
      <c r="C7" s="407" t="s">
        <v>291</v>
      </c>
      <c r="D7" s="886">
        <v>12</v>
      </c>
      <c r="E7" s="886"/>
      <c r="F7" s="891">
        <f>ROUND(F8*100/E8,2)-100</f>
        <v>9.409999999999997</v>
      </c>
      <c r="G7" s="891">
        <f>ROUND(G8*100/F8,2)-100</f>
        <v>8.829999999999998</v>
      </c>
      <c r="H7" s="891">
        <f>ROUND(H8*100/G8,2)-100</f>
        <v>8.260000000000005</v>
      </c>
      <c r="I7" s="891">
        <f>ROUND(I8*100/H8,2)-100</f>
        <v>9.079999999999998</v>
      </c>
      <c r="J7" s="1086">
        <f>ROUND(J8*100/I8,2)-100</f>
        <v>10.019999999999996</v>
      </c>
      <c r="K7" s="1087">
        <f>(((100+F7)*(100+G7)*(100+H7)*(100+I7)*(100+J7))^(1/5))-100</f>
        <v>9.118424788100882</v>
      </c>
      <c r="L7" s="563" t="s">
        <v>42</v>
      </c>
    </row>
    <row r="8" spans="1:14" s="446" customFormat="1" ht="33" customHeight="1">
      <c r="A8" s="444"/>
      <c r="B8" s="462" t="s">
        <v>470</v>
      </c>
      <c r="C8" s="407" t="s">
        <v>366</v>
      </c>
      <c r="D8" s="1019"/>
      <c r="E8" s="569">
        <f>E10+E12+E14</f>
        <v>5398618</v>
      </c>
      <c r="F8" s="569">
        <f>F10+F12+F14</f>
        <v>5906382</v>
      </c>
      <c r="G8" s="569">
        <f>G10+G12+G14</f>
        <v>6428060</v>
      </c>
      <c r="H8" s="569">
        <f>H10+H12+H14</f>
        <v>6959227</v>
      </c>
      <c r="I8" s="569">
        <f>I10+I12+I14</f>
        <v>7590858</v>
      </c>
      <c r="J8" s="1088">
        <f>(J10+J12+J14)</f>
        <v>8351462</v>
      </c>
      <c r="K8" s="1089">
        <f>(J8/E8)^(1/5)*100-100</f>
        <v>9.117895705071803</v>
      </c>
      <c r="L8" s="447"/>
      <c r="M8" s="443"/>
      <c r="N8" s="443"/>
    </row>
    <row r="9" spans="1:14" s="446" customFormat="1" ht="22.5" customHeight="1" hidden="1">
      <c r="A9" s="444"/>
      <c r="B9" s="462" t="s">
        <v>542</v>
      </c>
      <c r="C9" s="420"/>
      <c r="D9" s="1019"/>
      <c r="E9" s="570">
        <v>4.121</v>
      </c>
      <c r="F9" s="570">
        <f>F59/(F8-E8)*1000</f>
        <v>12.29705335549586</v>
      </c>
      <c r="G9" s="570">
        <f>G59/(G8-F8)*1000</f>
        <v>12.7703276733924</v>
      </c>
      <c r="H9" s="570">
        <f>H59/(H8-G8)*1000</f>
        <v>12.367078527092232</v>
      </c>
      <c r="I9" s="570">
        <f>I59/(I8-H8)*1000</f>
        <v>10.978203475765122</v>
      </c>
      <c r="J9" s="1090">
        <f>J59/(J8-I8)*1000</f>
        <v>9.474049571130312</v>
      </c>
      <c r="K9" s="1089">
        <f>(J9/E9)^(1/5)*100-100</f>
        <v>18.115422466853175</v>
      </c>
      <c r="L9" s="447"/>
      <c r="M9" s="443"/>
      <c r="N9" s="443"/>
    </row>
    <row r="10" spans="1:12" s="446" customFormat="1" ht="34.5" customHeight="1">
      <c r="A10" s="444"/>
      <c r="B10" s="445" t="s">
        <v>466</v>
      </c>
      <c r="C10" s="407" t="s">
        <v>366</v>
      </c>
      <c r="D10" s="1020"/>
      <c r="E10" s="487">
        <v>1563651</v>
      </c>
      <c r="F10" s="487">
        <v>1626998</v>
      </c>
      <c r="G10" s="487">
        <v>1684288</v>
      </c>
      <c r="H10" s="487">
        <v>1767527</v>
      </c>
      <c r="I10" s="487">
        <v>1856610</v>
      </c>
      <c r="J10" s="1091">
        <v>1951483</v>
      </c>
      <c r="K10" s="1092"/>
      <c r="L10" s="447"/>
    </row>
    <row r="11" spans="1:12" s="448" customFormat="1" ht="34.5" customHeight="1">
      <c r="A11" s="564"/>
      <c r="B11" s="565" t="s">
        <v>469</v>
      </c>
      <c r="C11" s="566"/>
      <c r="D11" s="564">
        <v>5.1</v>
      </c>
      <c r="E11" s="567"/>
      <c r="F11" s="893">
        <f>ROUND(F10*100/E10,2)-100</f>
        <v>4.049999999999997</v>
      </c>
      <c r="G11" s="893">
        <f>ROUND(G10*100/F10,2)-100</f>
        <v>3.519999999999996</v>
      </c>
      <c r="H11" s="893">
        <f>ROUND(H10*100/G10,2)-100</f>
        <v>4.939999999999998</v>
      </c>
      <c r="I11" s="893">
        <f>ROUND(I10*100/H10,2)-100</f>
        <v>5.040000000000006</v>
      </c>
      <c r="J11" s="1093">
        <f>ROUND(J10*100/I10,2)-100</f>
        <v>5.109999999999999</v>
      </c>
      <c r="K11" s="1075">
        <f>(((F11+100)*(100+G11)*(100+H11)*(100+I11)*(100+J11))^(1/5))-100</f>
        <v>4.530067630043888</v>
      </c>
      <c r="L11" s="1021" t="s">
        <v>42</v>
      </c>
    </row>
    <row r="12" spans="1:15" ht="38.25" customHeight="1">
      <c r="A12" s="444"/>
      <c r="B12" s="445" t="s">
        <v>467</v>
      </c>
      <c r="C12" s="407" t="s">
        <v>366</v>
      </c>
      <c r="D12" s="552"/>
      <c r="E12" s="487">
        <v>1559274</v>
      </c>
      <c r="F12" s="487">
        <v>1765050</v>
      </c>
      <c r="G12" s="487">
        <v>1858215</v>
      </c>
      <c r="H12" s="487">
        <v>1934261</v>
      </c>
      <c r="I12" s="487">
        <v>2055346</v>
      </c>
      <c r="J12" s="1091">
        <v>2217307</v>
      </c>
      <c r="K12" s="1092"/>
      <c r="L12" s="444"/>
      <c r="O12" s="438">
        <f>0.3*116</f>
        <v>34.8</v>
      </c>
    </row>
    <row r="13" spans="1:12" s="448" customFormat="1" ht="34.5" customHeight="1">
      <c r="A13" s="564"/>
      <c r="B13" s="565" t="s">
        <v>469</v>
      </c>
      <c r="C13" s="566"/>
      <c r="D13" s="564">
        <v>17.5</v>
      </c>
      <c r="E13" s="567"/>
      <c r="F13" s="893">
        <f>ROUND(F12*100/E12,2)-100</f>
        <v>13.200000000000003</v>
      </c>
      <c r="G13" s="893">
        <f>ROUND(G12*100/F12,2)-100</f>
        <v>5.280000000000001</v>
      </c>
      <c r="H13" s="893">
        <f>ROUND(H12*100/G12,2)-100</f>
        <v>4.090000000000003</v>
      </c>
      <c r="I13" s="893">
        <f>ROUND(I12*100/H12,2)-100</f>
        <v>6.260000000000005</v>
      </c>
      <c r="J13" s="1093">
        <f>ROUND(J12*100/I12,2)-100</f>
        <v>7.8799999999999955</v>
      </c>
      <c r="K13" s="1075">
        <f>(((F13+100)*(100+G13)*(100+H13)*(100+I13)*(100+J13))^(1/5))-100</f>
        <v>7.295723407335117</v>
      </c>
      <c r="L13" s="1021" t="s">
        <v>42</v>
      </c>
    </row>
    <row r="14" spans="1:12" s="448" customFormat="1" ht="37.5" customHeight="1">
      <c r="A14" s="447"/>
      <c r="B14" s="445" t="s">
        <v>468</v>
      </c>
      <c r="C14" s="407" t="s">
        <v>366</v>
      </c>
      <c r="D14" s="857"/>
      <c r="E14" s="487">
        <v>2275693</v>
      </c>
      <c r="F14" s="892">
        <v>2514334</v>
      </c>
      <c r="G14" s="892">
        <v>2885557</v>
      </c>
      <c r="H14" s="892">
        <v>3257439</v>
      </c>
      <c r="I14" s="892">
        <v>3678902</v>
      </c>
      <c r="J14" s="1094">
        <v>4182672</v>
      </c>
      <c r="K14" s="1092"/>
      <c r="L14" s="447"/>
    </row>
    <row r="15" spans="1:12" s="448" customFormat="1" ht="34.5" customHeight="1">
      <c r="A15" s="564"/>
      <c r="B15" s="565" t="s">
        <v>469</v>
      </c>
      <c r="C15" s="566"/>
      <c r="D15" s="564">
        <v>14.25</v>
      </c>
      <c r="E15" s="567"/>
      <c r="F15" s="893">
        <f>ROUND(F14*100/E14,2)-100</f>
        <v>10.489999999999995</v>
      </c>
      <c r="G15" s="893">
        <f>ROUND(G14*100/F14,2)-100</f>
        <v>14.760000000000005</v>
      </c>
      <c r="H15" s="893">
        <f>ROUND(H14*100/G14,2)-100</f>
        <v>12.89</v>
      </c>
      <c r="I15" s="893">
        <f>ROUND(I14*100/H14,2)-100</f>
        <v>12.939999999999998</v>
      </c>
      <c r="J15" s="1093">
        <f>ROUND(J14*100/I14,2)-100</f>
        <v>13.689999999999998</v>
      </c>
      <c r="K15" s="1075">
        <f>(((F15+100)*(100+G15)*(100+H15)*(100+I15)*(100+J15))^(1/5))-100</f>
        <v>12.945207392085777</v>
      </c>
      <c r="L15" s="1021" t="s">
        <v>42</v>
      </c>
    </row>
    <row r="16" spans="1:12" ht="39.75" customHeight="1" hidden="1">
      <c r="A16" s="444"/>
      <c r="B16" s="445" t="s">
        <v>466</v>
      </c>
      <c r="C16" s="407" t="s">
        <v>291</v>
      </c>
      <c r="D16" s="552">
        <v>5.1</v>
      </c>
      <c r="E16" s="553"/>
      <c r="F16" s="893">
        <f>ROUND(F10*100/E10,2)-100</f>
        <v>4.049999999999997</v>
      </c>
      <c r="G16" s="893">
        <f>ROUND(G10*100/F10,2)-100</f>
        <v>3.519999999999996</v>
      </c>
      <c r="H16" s="893">
        <f>ROUND(H10*100/G10,2)-100</f>
        <v>4.939999999999998</v>
      </c>
      <c r="I16" s="893">
        <f>ROUND(I10*100/H10,2)-100</f>
        <v>5.040000000000006</v>
      </c>
      <c r="J16" s="893">
        <f>ROUND(J10*100/I10,2)-100</f>
        <v>5.109999999999999</v>
      </c>
      <c r="K16" s="739">
        <f>(F16*G16*H16*I16*J16)^(1/5)</f>
        <v>4.4845122474979595</v>
      </c>
      <c r="L16" s="1021" t="s">
        <v>42</v>
      </c>
    </row>
    <row r="17" spans="1:12" ht="30" customHeight="1" hidden="1">
      <c r="A17" s="444"/>
      <c r="B17" s="445" t="s">
        <v>467</v>
      </c>
      <c r="C17" s="407" t="s">
        <v>291</v>
      </c>
      <c r="D17" s="897">
        <v>17.5</v>
      </c>
      <c r="E17" s="552"/>
      <c r="F17" s="893">
        <f>ROUND(F12*100/E12,2)-100</f>
        <v>13.200000000000003</v>
      </c>
      <c r="G17" s="893">
        <f>ROUND(G12*100/F12,2)-100</f>
        <v>5.280000000000001</v>
      </c>
      <c r="H17" s="893">
        <f>ROUND(H12*100/G12,2)-100</f>
        <v>4.090000000000003</v>
      </c>
      <c r="I17" s="893">
        <f>ROUND(I12*100/H12,2)-100</f>
        <v>6.260000000000005</v>
      </c>
      <c r="J17" s="893">
        <f>ROUND(J12*100/I12,2)-100</f>
        <v>7.8799999999999955</v>
      </c>
      <c r="K17" s="739">
        <f>(F17*G17*H17*I17*J17)^(1/5)</f>
        <v>6.754704312137434</v>
      </c>
      <c r="L17" s="1021" t="s">
        <v>42</v>
      </c>
    </row>
    <row r="18" spans="1:12" ht="34.5" customHeight="1" hidden="1">
      <c r="A18" s="444"/>
      <c r="B18" s="445" t="s">
        <v>468</v>
      </c>
      <c r="C18" s="407" t="s">
        <v>291</v>
      </c>
      <c r="D18" s="897">
        <v>14.25</v>
      </c>
      <c r="E18" s="552"/>
      <c r="F18" s="893">
        <f>ROUND(F14*100/E14,2)-100</f>
        <v>10.489999999999995</v>
      </c>
      <c r="G18" s="893">
        <f>ROUND(G14*100/F14,2)-100</f>
        <v>14.760000000000005</v>
      </c>
      <c r="H18" s="893">
        <f>ROUND(H14*100/G14,2)-100</f>
        <v>12.89</v>
      </c>
      <c r="I18" s="893">
        <f>ROUND(I14*100/H14,2)-100</f>
        <v>12.939999999999998</v>
      </c>
      <c r="J18" s="893">
        <f>ROUND(J14*100/I14,2)-100</f>
        <v>13.689999999999998</v>
      </c>
      <c r="K18" s="739">
        <f>(F18*G18*H18*I18*J18)^(1/5)</f>
        <v>12.873318001829258</v>
      </c>
      <c r="L18" s="1021" t="s">
        <v>42</v>
      </c>
    </row>
    <row r="19" spans="1:12" s="443" customFormat="1" ht="148.5">
      <c r="A19" s="441">
        <v>2</v>
      </c>
      <c r="B19" s="450" t="s">
        <v>797</v>
      </c>
      <c r="C19" s="407" t="s">
        <v>366</v>
      </c>
      <c r="D19" s="450"/>
      <c r="E19" s="450"/>
      <c r="F19" s="554">
        <f>F26+F27+F28</f>
        <v>6605126</v>
      </c>
      <c r="G19" s="554">
        <f>G26+G27+G28</f>
        <v>7080335</v>
      </c>
      <c r="H19" s="1069">
        <f>H26+H27+H28</f>
        <v>7503418.378991768</v>
      </c>
      <c r="I19" s="1069">
        <f>I26+I27+I28</f>
        <v>7947090.703270711</v>
      </c>
      <c r="J19" s="1069">
        <f>J26+J27+J28</f>
        <v>8449412</v>
      </c>
      <c r="K19" s="1070">
        <f>(F19+H19+I19+J19+G19)</f>
        <v>37585382.08226248</v>
      </c>
      <c r="L19" s="439"/>
    </row>
    <row r="20" spans="1:12" s="443" customFormat="1" ht="23.25" customHeight="1">
      <c r="A20" s="441"/>
      <c r="B20" s="451" t="s">
        <v>469</v>
      </c>
      <c r="C20" s="407" t="s">
        <v>291</v>
      </c>
      <c r="D20" s="1018"/>
      <c r="E20" s="1018"/>
      <c r="F20" s="891">
        <v>4.28</v>
      </c>
      <c r="G20" s="891">
        <f>ROUND(G25*100/F25,2)-100</f>
        <v>7.189999999999998</v>
      </c>
      <c r="H20" s="1071">
        <f>ROUND(H25*100/G25,2)-100</f>
        <v>5.980000000000004</v>
      </c>
      <c r="I20" s="1071">
        <f>ROUND(I25*100/H25,2)-100</f>
        <v>5.909999999999997</v>
      </c>
      <c r="J20" s="1071">
        <f>ROUND(J25*100/I25,2)-100</f>
        <v>6.319999999999993</v>
      </c>
      <c r="K20" s="1072">
        <f>(((F20+100)*(100+G20)*(100+H20)*(100+I20)*(100+J20))^(1/5))-100</f>
        <v>5.931770000256762</v>
      </c>
      <c r="L20" s="444"/>
    </row>
    <row r="21" spans="1:12" s="443" customFormat="1" ht="33">
      <c r="A21" s="441"/>
      <c r="B21" s="445" t="s">
        <v>466</v>
      </c>
      <c r="C21" s="407" t="s">
        <v>291</v>
      </c>
      <c r="D21" s="1018" t="s">
        <v>518</v>
      </c>
      <c r="E21" s="1018"/>
      <c r="F21" s="894">
        <f>99.92-100</f>
        <v>-0.0799999999999983</v>
      </c>
      <c r="G21" s="894">
        <f aca="true" t="shared" si="0" ref="G21:J23">ROUND(G26*100/F26,2)-100</f>
        <v>6.189999999999998</v>
      </c>
      <c r="H21" s="1073">
        <f t="shared" si="0"/>
        <v>3.6899999999999977</v>
      </c>
      <c r="I21" s="1073">
        <f t="shared" si="0"/>
        <v>4.349999999999994</v>
      </c>
      <c r="J21" s="1074">
        <f t="shared" si="0"/>
        <v>3.3900000000000006</v>
      </c>
      <c r="K21" s="1075">
        <f>(((F21+100)*(100+G21)*(100+H21)*(100+I21)*(100+J21))^(1/5))-100</f>
        <v>3.4877111892359096</v>
      </c>
      <c r="L21" s="444"/>
    </row>
    <row r="22" spans="1:12" s="443" customFormat="1" ht="23.25" customHeight="1">
      <c r="A22" s="441"/>
      <c r="B22" s="445" t="s">
        <v>467</v>
      </c>
      <c r="C22" s="407" t="s">
        <v>291</v>
      </c>
      <c r="D22" s="1018"/>
      <c r="E22" s="1018"/>
      <c r="F22" s="894">
        <v>2.84</v>
      </c>
      <c r="G22" s="894">
        <f t="shared" si="0"/>
        <v>6.420000000000002</v>
      </c>
      <c r="H22" s="1073">
        <f t="shared" si="0"/>
        <v>6.549999999999997</v>
      </c>
      <c r="I22" s="1073">
        <f t="shared" si="0"/>
        <v>7.150000000000006</v>
      </c>
      <c r="J22" s="1073">
        <f t="shared" si="0"/>
        <v>6.3799999999999955</v>
      </c>
      <c r="K22" s="1075">
        <f>(((F22+100)*(100+G22)*(100+H22)*(100+I22)*(100+J22))^(1/5))-100</f>
        <v>5.856660152645063</v>
      </c>
      <c r="L22" s="444"/>
    </row>
    <row r="23" spans="1:12" s="443" customFormat="1" ht="23.25" customHeight="1">
      <c r="A23" s="441"/>
      <c r="B23" s="445" t="s">
        <v>468</v>
      </c>
      <c r="C23" s="407" t="s">
        <v>291</v>
      </c>
      <c r="D23" s="1018"/>
      <c r="E23" s="1018"/>
      <c r="F23" s="894">
        <f>ROUND(F28*100/E28,2)-100</f>
        <v>7.25</v>
      </c>
      <c r="G23" s="894">
        <f t="shared" si="0"/>
        <v>8.049999999999997</v>
      </c>
      <c r="H23" s="1073">
        <f t="shared" si="0"/>
        <v>6.769999999999996</v>
      </c>
      <c r="I23" s="1073">
        <f t="shared" si="0"/>
        <v>6.019999999999996</v>
      </c>
      <c r="J23" s="1074">
        <f t="shared" si="0"/>
        <v>7.599999999999994</v>
      </c>
      <c r="K23" s="1075">
        <f>(((F23+100)*(100+G23)*(100+H23)*(100+I23)*(100+J23))^(1/5))-100</f>
        <v>7.135716199336088</v>
      </c>
      <c r="L23" s="444"/>
    </row>
    <row r="24" spans="1:12" s="443" customFormat="1" ht="23.25" customHeight="1" hidden="1">
      <c r="A24" s="441"/>
      <c r="B24" s="445"/>
      <c r="C24" s="407"/>
      <c r="D24" s="1018"/>
      <c r="E24" s="1018"/>
      <c r="F24" s="452">
        <f>F26+F27+F28</f>
        <v>6605126</v>
      </c>
      <c r="G24" s="452">
        <f>G26+G27+G28</f>
        <v>7080335</v>
      </c>
      <c r="H24" s="1076">
        <f>H26+H27+H28</f>
        <v>7503418.378991768</v>
      </c>
      <c r="I24" s="1076">
        <f>I26+I27+I28</f>
        <v>7947090.703270711</v>
      </c>
      <c r="J24" s="1076">
        <f>J26+J27+J28</f>
        <v>8449412</v>
      </c>
      <c r="K24" s="1073"/>
      <c r="L24" s="444"/>
    </row>
    <row r="25" spans="1:12" s="443" customFormat="1" ht="23.25" customHeight="1">
      <c r="A25" s="441"/>
      <c r="B25" s="442" t="s">
        <v>470</v>
      </c>
      <c r="C25" s="407" t="s">
        <v>366</v>
      </c>
      <c r="D25" s="1018"/>
      <c r="E25" s="571">
        <f>+E26+E27+E28</f>
        <v>6334035</v>
      </c>
      <c r="F25" s="571">
        <v>6605126</v>
      </c>
      <c r="G25" s="571">
        <v>7080335</v>
      </c>
      <c r="H25" s="1077">
        <f>H26+H27+H28</f>
        <v>7503418.378991768</v>
      </c>
      <c r="I25" s="1077">
        <f>I26+I27+I28</f>
        <v>7947090.703270711</v>
      </c>
      <c r="J25" s="1077">
        <f>J26+J27+J28</f>
        <v>8449412</v>
      </c>
      <c r="K25" s="1070">
        <f>(F25+H25+I25+J25+G25)</f>
        <v>37585382.08226248</v>
      </c>
      <c r="L25" s="444"/>
    </row>
    <row r="26" spans="1:12" s="443" customFormat="1" ht="33">
      <c r="A26" s="441"/>
      <c r="B26" s="445" t="s">
        <v>466</v>
      </c>
      <c r="C26" s="407" t="s">
        <v>366</v>
      </c>
      <c r="D26" s="1018"/>
      <c r="E26" s="453">
        <v>1600403</v>
      </c>
      <c r="F26" s="453">
        <v>1599070</v>
      </c>
      <c r="G26" s="453">
        <v>1698047</v>
      </c>
      <c r="H26" s="1078">
        <v>1760676</v>
      </c>
      <c r="I26" s="1078">
        <v>1837265</v>
      </c>
      <c r="J26" s="1078">
        <v>1899548</v>
      </c>
      <c r="K26" s="1070">
        <f>(F26+H26+I26+J26+G26)</f>
        <v>8794606</v>
      </c>
      <c r="L26" s="444"/>
    </row>
    <row r="27" spans="1:14" s="443" customFormat="1" ht="24.75" customHeight="1">
      <c r="A27" s="441"/>
      <c r="B27" s="445" t="s">
        <v>467</v>
      </c>
      <c r="C27" s="407" t="s">
        <v>366</v>
      </c>
      <c r="D27" s="1018"/>
      <c r="E27" s="453">
        <v>1607843</v>
      </c>
      <c r="F27" s="453">
        <v>1653522</v>
      </c>
      <c r="G27" s="453">
        <v>1759749</v>
      </c>
      <c r="H27" s="1078">
        <v>1875080</v>
      </c>
      <c r="I27" s="1078">
        <v>2009204.0082104523</v>
      </c>
      <c r="J27" s="1078">
        <v>2137391</v>
      </c>
      <c r="K27" s="1070">
        <f>(F27+H27+I27+J27+G27)</f>
        <v>9434946.008210452</v>
      </c>
      <c r="L27" s="444"/>
      <c r="M27" s="740"/>
      <c r="N27" s="443" t="s">
        <v>518</v>
      </c>
    </row>
    <row r="28" spans="1:12" s="443" customFormat="1" ht="24.75" customHeight="1">
      <c r="A28" s="441"/>
      <c r="B28" s="445" t="s">
        <v>468</v>
      </c>
      <c r="C28" s="407" t="s">
        <v>366</v>
      </c>
      <c r="D28" s="1018"/>
      <c r="E28" s="453">
        <v>3125789</v>
      </c>
      <c r="F28" s="453">
        <v>3352534</v>
      </c>
      <c r="G28" s="453">
        <v>3622539</v>
      </c>
      <c r="H28" s="1078">
        <v>3867662.3789917678</v>
      </c>
      <c r="I28" s="1078">
        <v>4100621.6950602583</v>
      </c>
      <c r="J28" s="1078">
        <v>4412473</v>
      </c>
      <c r="K28" s="1070">
        <f>(F28+H28+I28+J28+G28)</f>
        <v>19355830.07405203</v>
      </c>
      <c r="L28" s="444"/>
    </row>
    <row r="29" spans="1:12" s="448" customFormat="1" ht="36" customHeight="1">
      <c r="A29" s="441">
        <v>3</v>
      </c>
      <c r="B29" s="442" t="s">
        <v>471</v>
      </c>
      <c r="C29" s="420" t="s">
        <v>366</v>
      </c>
      <c r="D29" s="1020"/>
      <c r="E29" s="1020"/>
      <c r="F29" s="1022"/>
      <c r="G29" s="1023"/>
      <c r="H29" s="1023"/>
      <c r="I29" s="1023"/>
      <c r="J29" s="1023"/>
      <c r="K29" s="1024"/>
      <c r="L29" s="447"/>
    </row>
    <row r="30" spans="1:14" s="446" customFormat="1" ht="23.25" customHeight="1">
      <c r="A30" s="444"/>
      <c r="B30" s="450" t="s">
        <v>470</v>
      </c>
      <c r="C30" s="407" t="s">
        <v>366</v>
      </c>
      <c r="D30" s="1020"/>
      <c r="E30" s="568">
        <f aca="true" t="shared" si="1" ref="E30:J30">E32+E33+E34</f>
        <v>5237653</v>
      </c>
      <c r="F30" s="568">
        <f t="shared" si="1"/>
        <v>7042346</v>
      </c>
      <c r="G30" s="568">
        <f t="shared" si="1"/>
        <v>8466287</v>
      </c>
      <c r="H30" s="568">
        <f>H32+H33+H34</f>
        <v>9714863</v>
      </c>
      <c r="I30" s="568">
        <f t="shared" si="1"/>
        <v>11099231</v>
      </c>
      <c r="J30" s="1095">
        <f t="shared" si="1"/>
        <v>12688641</v>
      </c>
      <c r="K30" s="1070">
        <f>(F30+H30+I30+J30+G30)</f>
        <v>49011368</v>
      </c>
      <c r="L30" s="447"/>
      <c r="M30" s="443"/>
      <c r="N30" s="443"/>
    </row>
    <row r="31" spans="1:14" s="446" customFormat="1" ht="23.25" customHeight="1" hidden="1">
      <c r="A31" s="444"/>
      <c r="B31" s="450"/>
      <c r="C31" s="407"/>
      <c r="D31" s="1020"/>
      <c r="E31" s="568"/>
      <c r="F31" s="776">
        <f>F59/(F30-E30)*1000</f>
        <v>3.459868797629292</v>
      </c>
      <c r="G31" s="776">
        <f>G59/(G30-F30)*1000</f>
        <v>4.678563929263923</v>
      </c>
      <c r="H31" s="776">
        <f>H59/(H30-G30)*1000</f>
        <v>5.2611807370956996</v>
      </c>
      <c r="I31" s="776">
        <f>I59/(I30-H30)*1000</f>
        <v>5.0089092203814305</v>
      </c>
      <c r="J31" s="1096">
        <f>J59/(J30-I30)*1000</f>
        <v>4.533757809501639</v>
      </c>
      <c r="K31" s="1089"/>
      <c r="L31" s="447"/>
      <c r="M31" s="443"/>
      <c r="N31" s="443"/>
    </row>
    <row r="32" spans="1:12" s="446" customFormat="1" ht="33">
      <c r="A32" s="444"/>
      <c r="B32" s="454" t="s">
        <v>466</v>
      </c>
      <c r="C32" s="407" t="s">
        <v>366</v>
      </c>
      <c r="D32" s="1020"/>
      <c r="E32" s="895">
        <v>1563651</v>
      </c>
      <c r="F32" s="895">
        <v>2045124</v>
      </c>
      <c r="G32" s="895">
        <v>2346861</v>
      </c>
      <c r="H32" s="895">
        <v>2484184</v>
      </c>
      <c r="I32" s="895">
        <v>2676025</v>
      </c>
      <c r="J32" s="1097">
        <v>3018628</v>
      </c>
      <c r="K32" s="1070">
        <f>(F32+H32+I32+J32+G32)</f>
        <v>12570822</v>
      </c>
      <c r="L32" s="447"/>
    </row>
    <row r="33" spans="1:12" ht="26.25" customHeight="1">
      <c r="A33" s="444"/>
      <c r="B33" s="454" t="s">
        <v>467</v>
      </c>
      <c r="C33" s="407" t="s">
        <v>366</v>
      </c>
      <c r="D33" s="1025"/>
      <c r="E33" s="895">
        <v>1575978</v>
      </c>
      <c r="F33" s="895">
        <v>2087489</v>
      </c>
      <c r="G33" s="895">
        <v>2499255</v>
      </c>
      <c r="H33" s="895">
        <v>2870215</v>
      </c>
      <c r="I33" s="895">
        <v>3431882</v>
      </c>
      <c r="J33" s="1097">
        <v>3958856</v>
      </c>
      <c r="K33" s="1070">
        <f>(F33+H33+I33+J33+G33)</f>
        <v>14847697</v>
      </c>
      <c r="L33" s="444"/>
    </row>
    <row r="34" spans="1:12" s="448" customFormat="1" ht="26.25" customHeight="1">
      <c r="A34" s="447"/>
      <c r="B34" s="454" t="s">
        <v>468</v>
      </c>
      <c r="C34" s="407" t="s">
        <v>366</v>
      </c>
      <c r="D34" s="1020"/>
      <c r="E34" s="895">
        <v>2098024</v>
      </c>
      <c r="F34" s="896">
        <v>2909733</v>
      </c>
      <c r="G34" s="896">
        <v>3620171</v>
      </c>
      <c r="H34" s="896">
        <v>4360464</v>
      </c>
      <c r="I34" s="896">
        <v>4991324</v>
      </c>
      <c r="J34" s="1098">
        <v>5711157</v>
      </c>
      <c r="K34" s="1070">
        <f>(F34+H34+I34+J34+G34)</f>
        <v>21592849</v>
      </c>
      <c r="L34" s="447"/>
    </row>
    <row r="35" spans="1:12" s="443" customFormat="1" ht="27.75" customHeight="1">
      <c r="A35" s="441"/>
      <c r="B35" s="450" t="s">
        <v>472</v>
      </c>
      <c r="C35" s="420"/>
      <c r="D35" s="1018"/>
      <c r="E35" s="886">
        <f aca="true" t="shared" si="2" ref="E35:J35">E36+E37+E38</f>
        <v>100</v>
      </c>
      <c r="F35" s="886">
        <f t="shared" si="2"/>
        <v>100</v>
      </c>
      <c r="G35" s="886">
        <f t="shared" si="2"/>
        <v>100</v>
      </c>
      <c r="H35" s="886">
        <f t="shared" si="2"/>
        <v>99.99903723912524</v>
      </c>
      <c r="I35" s="886">
        <f t="shared" si="2"/>
        <v>100</v>
      </c>
      <c r="J35" s="886">
        <f t="shared" si="2"/>
        <v>100</v>
      </c>
      <c r="K35" s="891"/>
      <c r="L35" s="441"/>
    </row>
    <row r="36" spans="1:12" ht="33">
      <c r="A36" s="444"/>
      <c r="B36" s="454" t="s">
        <v>466</v>
      </c>
      <c r="C36" s="407" t="s">
        <v>291</v>
      </c>
      <c r="D36" s="1026" t="s">
        <v>473</v>
      </c>
      <c r="E36" s="968">
        <f>E32/E30*100</f>
        <v>29.854039586051233</v>
      </c>
      <c r="F36" s="968">
        <f>F32/F30*100</f>
        <v>29.04037944173717</v>
      </c>
      <c r="G36" s="968">
        <f>G32/G30*100</f>
        <v>27.72007374661407</v>
      </c>
      <c r="H36" s="968">
        <f>ROUND(H32/H30*100,2)</f>
        <v>25.57</v>
      </c>
      <c r="I36" s="968">
        <f>I32/I30*100</f>
        <v>24.11000365701011</v>
      </c>
      <c r="J36" s="968">
        <f>J32/J30*100</f>
        <v>23.79000241239389</v>
      </c>
      <c r="K36" s="712">
        <f>+J36-E36</f>
        <v>-6.0640371736573435</v>
      </c>
      <c r="L36" s="1021" t="s">
        <v>42</v>
      </c>
    </row>
    <row r="37" spans="1:12" ht="30.75" customHeight="1">
      <c r="A37" s="444"/>
      <c r="B37" s="454" t="s">
        <v>467</v>
      </c>
      <c r="C37" s="407" t="s">
        <v>291</v>
      </c>
      <c r="D37" s="1027">
        <v>4.32</v>
      </c>
      <c r="E37" s="898">
        <f aca="true" t="shared" si="3" ref="E37:J37">E33/E30*100</f>
        <v>30.08939309266956</v>
      </c>
      <c r="F37" s="898">
        <f t="shared" si="3"/>
        <v>29.641954541852954</v>
      </c>
      <c r="G37" s="898">
        <f t="shared" si="3"/>
        <v>29.52008359744951</v>
      </c>
      <c r="H37" s="898">
        <f t="shared" si="3"/>
        <v>29.544575152526598</v>
      </c>
      <c r="I37" s="898">
        <f t="shared" si="3"/>
        <v>30.919997971030604</v>
      </c>
      <c r="J37" s="898">
        <f t="shared" si="3"/>
        <v>31.200000063048517</v>
      </c>
      <c r="K37" s="712">
        <f>+J37-E37</f>
        <v>1.1106069703789565</v>
      </c>
      <c r="L37" s="1021" t="s">
        <v>42</v>
      </c>
    </row>
    <row r="38" spans="1:12" ht="26.25" customHeight="1">
      <c r="A38" s="444"/>
      <c r="B38" s="454" t="s">
        <v>468</v>
      </c>
      <c r="C38" s="407" t="s">
        <v>291</v>
      </c>
      <c r="D38" s="1028">
        <v>3.35</v>
      </c>
      <c r="E38" s="968">
        <f aca="true" t="shared" si="4" ref="E38:J38">E34/E30*100</f>
        <v>40.05656732127921</v>
      </c>
      <c r="F38" s="968">
        <f t="shared" si="4"/>
        <v>41.31766601640987</v>
      </c>
      <c r="G38" s="968">
        <f t="shared" si="4"/>
        <v>42.75984265593642</v>
      </c>
      <c r="H38" s="968">
        <f t="shared" si="4"/>
        <v>44.884462086598646</v>
      </c>
      <c r="I38" s="968">
        <f t="shared" si="4"/>
        <v>44.96999837195928</v>
      </c>
      <c r="J38" s="968">
        <f t="shared" si="4"/>
        <v>45.00999752455759</v>
      </c>
      <c r="K38" s="712">
        <f>+J38-E38</f>
        <v>4.95343020327838</v>
      </c>
      <c r="L38" s="1021" t="s">
        <v>36</v>
      </c>
    </row>
    <row r="39" spans="1:12" s="443" customFormat="1" ht="93" customHeight="1">
      <c r="A39" s="441">
        <v>4</v>
      </c>
      <c r="B39" s="442" t="s">
        <v>474</v>
      </c>
      <c r="C39" s="439"/>
      <c r="D39" s="710"/>
      <c r="E39" s="710"/>
      <c r="F39" s="1029"/>
      <c r="G39" s="1029"/>
      <c r="H39" s="1029"/>
      <c r="I39" s="1029"/>
      <c r="J39" s="1029"/>
      <c r="K39" s="710"/>
      <c r="L39" s="439"/>
    </row>
    <row r="40" spans="1:12" ht="38.25" customHeight="1">
      <c r="A40" s="444"/>
      <c r="B40" s="445" t="s">
        <v>406</v>
      </c>
      <c r="C40" s="407" t="s">
        <v>378</v>
      </c>
      <c r="D40" s="903"/>
      <c r="E40" s="903"/>
      <c r="F40" s="455">
        <f>F48/1000000</f>
        <v>7.81068</v>
      </c>
      <c r="G40" s="455">
        <f>G48/1000000</f>
        <v>8.743139</v>
      </c>
      <c r="H40" s="455">
        <f>H48/1000000</f>
        <v>9.465347</v>
      </c>
      <c r="I40" s="455">
        <f>I48/1000000</f>
        <v>10.523511</v>
      </c>
      <c r="J40" s="455">
        <f>J48/1000000</f>
        <v>11.495685</v>
      </c>
      <c r="K40" s="739">
        <f>(F40*G40*H40*I40*J40)^(1/5)</f>
        <v>9.520015521854537</v>
      </c>
      <c r="L40" s="444"/>
    </row>
    <row r="41" spans="1:12" ht="38.25" customHeight="1" hidden="1">
      <c r="A41" s="444"/>
      <c r="B41" s="445"/>
      <c r="C41" s="407"/>
      <c r="D41" s="903"/>
      <c r="E41" s="903"/>
      <c r="F41" s="455">
        <f aca="true" t="shared" si="5" ref="F41:K41">F40*1000</f>
        <v>7810.679999999999</v>
      </c>
      <c r="G41" s="455">
        <f t="shared" si="5"/>
        <v>8743.139</v>
      </c>
      <c r="H41" s="455">
        <f t="shared" si="5"/>
        <v>9465.347</v>
      </c>
      <c r="I41" s="455">
        <f t="shared" si="5"/>
        <v>10523.510999999999</v>
      </c>
      <c r="J41" s="455">
        <f t="shared" si="5"/>
        <v>11495.685</v>
      </c>
      <c r="K41" s="455">
        <f t="shared" si="5"/>
        <v>9520.015521854537</v>
      </c>
      <c r="L41" s="444"/>
    </row>
    <row r="42" spans="1:12" ht="38.25" customHeight="1" hidden="1">
      <c r="A42" s="444"/>
      <c r="B42" s="777" t="s">
        <v>716</v>
      </c>
      <c r="C42" s="407"/>
      <c r="D42" s="903"/>
      <c r="E42" s="455">
        <v>4.1</v>
      </c>
      <c r="F42" s="455">
        <v>4.567</v>
      </c>
      <c r="G42" s="455">
        <f>G59/(G41-F41)</f>
        <v>7.144548982850721</v>
      </c>
      <c r="H42" s="455">
        <f>H59/(H41-G41)</f>
        <v>9.095695422925246</v>
      </c>
      <c r="I42" s="455">
        <f>I59/(I41-H41)</f>
        <v>6.553023576308594</v>
      </c>
      <c r="J42" s="455">
        <f>J59/(J41-I41)</f>
        <v>7.412253362052465</v>
      </c>
      <c r="K42" s="455"/>
      <c r="L42" s="444"/>
    </row>
    <row r="43" spans="1:12" ht="29.25" customHeight="1">
      <c r="A43" s="444"/>
      <c r="B43" s="445" t="s">
        <v>407</v>
      </c>
      <c r="C43" s="407" t="s">
        <v>292</v>
      </c>
      <c r="D43" s="903"/>
      <c r="E43" s="903"/>
      <c r="F43" s="456">
        <f>F40/21000*1000</f>
        <v>0.37193714285714286</v>
      </c>
      <c r="G43" s="456">
        <f>G40/21000*1000</f>
        <v>0.4163399523809524</v>
      </c>
      <c r="H43" s="456">
        <f>H40/21000*1000</f>
        <v>0.4507308095238095</v>
      </c>
      <c r="I43" s="456">
        <f>I40/21000*1000</f>
        <v>0.5011195714285714</v>
      </c>
      <c r="J43" s="456">
        <f>J40/21000*1000</f>
        <v>0.5474135714285714</v>
      </c>
      <c r="K43" s="739">
        <f>(F43*G43*H43*I43*J43)^(1/5)</f>
        <v>0.45333407246926355</v>
      </c>
      <c r="L43" s="444"/>
    </row>
    <row r="44" spans="1:21" ht="35.25" customHeight="1">
      <c r="A44" s="444"/>
      <c r="B44" s="445" t="s">
        <v>729</v>
      </c>
      <c r="C44" s="407" t="s">
        <v>293</v>
      </c>
      <c r="D44" s="453">
        <v>1100</v>
      </c>
      <c r="E44" s="903"/>
      <c r="F44" s="449">
        <f>(F48/F89)*1000/F111</f>
        <v>730.5432561217748</v>
      </c>
      <c r="G44" s="449">
        <f>(G48/G89)*1000/G111</f>
        <v>804.5059294323045</v>
      </c>
      <c r="H44" s="1080">
        <f>(H48/H89)*1000/H111</f>
        <v>855.4721140208293</v>
      </c>
      <c r="I44" s="1080">
        <f>(I48/I89)*1000/I111</f>
        <v>933.864346565949</v>
      </c>
      <c r="J44" s="1080">
        <f>(J48/J89)*1000/J111</f>
        <v>1002.5474836574579</v>
      </c>
      <c r="K44" s="899">
        <f>(F44*G44*H44*I44*J44)^(1/5)</f>
        <v>860.109922383364</v>
      </c>
      <c r="L44" s="1030" t="s">
        <v>42</v>
      </c>
      <c r="M44" s="1040"/>
      <c r="N44" s="778"/>
      <c r="O44" s="778"/>
      <c r="P44" s="778"/>
      <c r="Q44" s="778"/>
      <c r="R44" s="778"/>
      <c r="S44" s="778"/>
      <c r="T44" s="778"/>
      <c r="U44" s="778"/>
    </row>
    <row r="45" spans="1:21" ht="36.75" customHeight="1">
      <c r="A45" s="444"/>
      <c r="B45" s="445" t="s">
        <v>475</v>
      </c>
      <c r="C45" s="407" t="s">
        <v>293</v>
      </c>
      <c r="D45" s="453">
        <v>1100</v>
      </c>
      <c r="E45" s="903"/>
      <c r="F45" s="900">
        <f>F30/F89*1000/F111</f>
        <v>658.6799584128598</v>
      </c>
      <c r="G45" s="900">
        <f>G30/G89*1000/G111</f>
        <v>779.0312028409518</v>
      </c>
      <c r="H45" s="900">
        <f>H30/H89*1000/H111</f>
        <v>878.0232133098485</v>
      </c>
      <c r="I45" s="900">
        <f>I30/I89*1000/I111</f>
        <v>984.9541759589098</v>
      </c>
      <c r="J45" s="1099">
        <f>J30/J89*1000/J111</f>
        <v>1106.5860890919375</v>
      </c>
      <c r="K45" s="899">
        <f>(F45*G45*H45*I45*J45)^(1/5)</f>
        <v>867.4157559706697</v>
      </c>
      <c r="L45" s="1030" t="s">
        <v>36</v>
      </c>
      <c r="M45" s="1040"/>
      <c r="N45" s="778"/>
      <c r="O45" s="778"/>
      <c r="P45" s="778"/>
      <c r="Q45" s="778"/>
      <c r="R45" s="778"/>
      <c r="S45" s="778"/>
      <c r="T45" s="778"/>
      <c r="U45" s="778"/>
    </row>
    <row r="46" spans="1:21" ht="36.75" customHeight="1">
      <c r="A46" s="444"/>
      <c r="B46" s="445"/>
      <c r="C46" s="407"/>
      <c r="D46" s="453"/>
      <c r="E46" s="903"/>
      <c r="F46" s="1066">
        <f aca="true" t="shared" si="6" ref="F46:K46">F40/F89*1000000</f>
        <v>15.291731437140989</v>
      </c>
      <c r="G46" s="1066">
        <f t="shared" si="6"/>
        <v>16.824632502217785</v>
      </c>
      <c r="H46" s="1066">
        <f t="shared" si="6"/>
        <v>17.9110196512541</v>
      </c>
      <c r="I46" s="1066">
        <f t="shared" si="6"/>
        <v>19.55792101013067</v>
      </c>
      <c r="J46" s="1066">
        <f>J40/J89*1000000</f>
        <v>21.001364687656427</v>
      </c>
      <c r="K46" s="1066">
        <f>K40/K89*1000000</f>
        <v>17.392031688987387</v>
      </c>
      <c r="L46" s="1030"/>
      <c r="M46" s="829"/>
      <c r="N46" s="778"/>
      <c r="O46" s="778"/>
      <c r="P46" s="778"/>
      <c r="Q46" s="778"/>
      <c r="R46" s="778"/>
      <c r="S46" s="778"/>
      <c r="T46" s="778"/>
      <c r="U46" s="778"/>
    </row>
    <row r="47" spans="1:12" s="443" customFormat="1" ht="51" customHeight="1">
      <c r="A47" s="441">
        <v>5</v>
      </c>
      <c r="B47" s="442" t="s">
        <v>476</v>
      </c>
      <c r="C47" s="407"/>
      <c r="D47" s="1018"/>
      <c r="E47" s="1018"/>
      <c r="F47" s="969"/>
      <c r="G47" s="969"/>
      <c r="H47" s="969"/>
      <c r="I47" s="969"/>
      <c r="J47" s="969"/>
      <c r="K47" s="891"/>
      <c r="L47" s="441"/>
    </row>
    <row r="48" spans="1:12" s="775" customFormat="1" ht="36" customHeight="1">
      <c r="A48" s="774"/>
      <c r="B48" s="442" t="s">
        <v>470</v>
      </c>
      <c r="C48" s="420" t="s">
        <v>366</v>
      </c>
      <c r="D48" s="1019"/>
      <c r="E48" s="1019"/>
      <c r="F48" s="969">
        <f>F49+F51+F53</f>
        <v>7810680</v>
      </c>
      <c r="G48" s="969">
        <f>G49+G51+G53</f>
        <v>8743139</v>
      </c>
      <c r="H48" s="1079">
        <f>H49+H51+H53</f>
        <v>9465347</v>
      </c>
      <c r="I48" s="1079">
        <f>I49+I51+I53</f>
        <v>10523511</v>
      </c>
      <c r="J48" s="1079">
        <f>J49+J51+J53</f>
        <v>11495685</v>
      </c>
      <c r="K48" s="1079"/>
      <c r="L48" s="774"/>
    </row>
    <row r="49" spans="1:12" s="443" customFormat="1" ht="32.25" customHeight="1">
      <c r="A49" s="441"/>
      <c r="B49" s="445" t="s">
        <v>466</v>
      </c>
      <c r="C49" s="407" t="s">
        <v>366</v>
      </c>
      <c r="D49" s="1018"/>
      <c r="E49" s="1018"/>
      <c r="F49" s="452">
        <v>2063878</v>
      </c>
      <c r="G49" s="457">
        <v>2244538</v>
      </c>
      <c r="H49" s="1076">
        <v>2355163</v>
      </c>
      <c r="I49" s="1076">
        <v>2585704</v>
      </c>
      <c r="J49" s="1076">
        <v>2749796</v>
      </c>
      <c r="K49" s="1073"/>
      <c r="L49" s="441"/>
    </row>
    <row r="50" spans="1:12" s="443" customFormat="1" ht="32.25" customHeight="1">
      <c r="A50" s="441"/>
      <c r="B50" s="565" t="s">
        <v>469</v>
      </c>
      <c r="C50" s="407"/>
      <c r="D50" s="1018"/>
      <c r="E50" s="1018"/>
      <c r="F50" s="449">
        <v>9.41</v>
      </c>
      <c r="G50" s="449">
        <f>G49/F49*100-100</f>
        <v>8.753424378766582</v>
      </c>
      <c r="H50" s="1080">
        <f>H49/G49*100-100</f>
        <v>4.928631192699797</v>
      </c>
      <c r="I50" s="1080">
        <f>I49/H49*100-100</f>
        <v>9.788749228821956</v>
      </c>
      <c r="J50" s="1080">
        <f>J49/I49*100-100</f>
        <v>6.346124691766718</v>
      </c>
      <c r="K50" s="1081">
        <f>(F50*G50*H50*I50*J50)^(1/5)</f>
        <v>7.5918207694963</v>
      </c>
      <c r="L50" s="441"/>
    </row>
    <row r="51" spans="1:12" s="443" customFormat="1" ht="25.5" customHeight="1">
      <c r="A51" s="441"/>
      <c r="B51" s="445" t="s">
        <v>467</v>
      </c>
      <c r="C51" s="407" t="s">
        <v>366</v>
      </c>
      <c r="D51" s="1018"/>
      <c r="E51" s="1018"/>
      <c r="F51" s="452">
        <v>1980119</v>
      </c>
      <c r="G51" s="452">
        <v>2228947</v>
      </c>
      <c r="H51" s="1076">
        <v>2449225</v>
      </c>
      <c r="I51" s="1076">
        <v>2742090</v>
      </c>
      <c r="J51" s="1076">
        <v>3031386</v>
      </c>
      <c r="K51" s="1073"/>
      <c r="L51" s="441"/>
    </row>
    <row r="52" spans="1:12" s="443" customFormat="1" ht="25.5" customHeight="1">
      <c r="A52" s="441"/>
      <c r="B52" s="565" t="s">
        <v>469</v>
      </c>
      <c r="C52" s="407"/>
      <c r="D52" s="1018"/>
      <c r="E52" s="1018"/>
      <c r="F52" s="449"/>
      <c r="G52" s="449">
        <f>G51/F51*100-100</f>
        <v>12.566315458818394</v>
      </c>
      <c r="H52" s="1080">
        <f>H51/G51*100-100</f>
        <v>9.88260375863581</v>
      </c>
      <c r="I52" s="1080">
        <f>I51/H51*100-100</f>
        <v>11.957455929937026</v>
      </c>
      <c r="J52" s="1080">
        <f>J51/I51*100-100</f>
        <v>10.550200759274858</v>
      </c>
      <c r="K52" s="1081">
        <f>(G52*H52*I52*J52)^(1/4)</f>
        <v>11.187800497051953</v>
      </c>
      <c r="L52" s="441"/>
    </row>
    <row r="53" spans="1:12" s="443" customFormat="1" ht="25.5" customHeight="1">
      <c r="A53" s="441"/>
      <c r="B53" s="445" t="s">
        <v>468</v>
      </c>
      <c r="C53" s="407" t="s">
        <v>366</v>
      </c>
      <c r="D53" s="1018"/>
      <c r="E53" s="1018"/>
      <c r="F53" s="452">
        <v>3766683</v>
      </c>
      <c r="G53" s="452">
        <v>4269654</v>
      </c>
      <c r="H53" s="1076">
        <v>4660959</v>
      </c>
      <c r="I53" s="1076">
        <v>5195717</v>
      </c>
      <c r="J53" s="1076">
        <v>5714503</v>
      </c>
      <c r="K53" s="1073"/>
      <c r="L53" s="441"/>
    </row>
    <row r="54" spans="1:12" s="443" customFormat="1" ht="25.5" customHeight="1">
      <c r="A54" s="441"/>
      <c r="B54" s="565" t="s">
        <v>469</v>
      </c>
      <c r="C54" s="407"/>
      <c r="D54" s="1018"/>
      <c r="E54" s="1018"/>
      <c r="F54" s="449"/>
      <c r="G54" s="449">
        <f>G53/F53*100-100</f>
        <v>13.353154486321259</v>
      </c>
      <c r="H54" s="1080">
        <f>H53/G53*100-100</f>
        <v>9.16479414959619</v>
      </c>
      <c r="I54" s="1080">
        <f>I53/H53*100-100</f>
        <v>11.47313246050868</v>
      </c>
      <c r="J54" s="1080">
        <f>J53/I53*100-100</f>
        <v>9.98487792926366</v>
      </c>
      <c r="K54" s="1081">
        <f>(G54*H54*I54*J54)^(1/4)</f>
        <v>10.88135148444609</v>
      </c>
      <c r="L54" s="441"/>
    </row>
    <row r="55" spans="1:12" s="461" customFormat="1" ht="25.5" customHeight="1">
      <c r="A55" s="458"/>
      <c r="B55" s="459" t="s">
        <v>477</v>
      </c>
      <c r="C55" s="460"/>
      <c r="D55" s="1031"/>
      <c r="E55" s="1031"/>
      <c r="F55" s="851">
        <f aca="true" t="shared" si="7" ref="F55:K55">SUM(F56:F58)</f>
        <v>100</v>
      </c>
      <c r="G55" s="851">
        <f t="shared" si="7"/>
        <v>100</v>
      </c>
      <c r="H55" s="1082">
        <f t="shared" si="7"/>
        <v>100</v>
      </c>
      <c r="I55" s="1082">
        <f t="shared" si="7"/>
        <v>100</v>
      </c>
      <c r="J55" s="1082">
        <f t="shared" si="7"/>
        <v>100</v>
      </c>
      <c r="K55" s="1082">
        <f t="shared" si="7"/>
        <v>99.9955470612875</v>
      </c>
      <c r="L55" s="458"/>
    </row>
    <row r="56" spans="1:15" ht="32.25" customHeight="1">
      <c r="A56" s="444"/>
      <c r="B56" s="445" t="s">
        <v>466</v>
      </c>
      <c r="C56" s="407" t="s">
        <v>291</v>
      </c>
      <c r="D56" s="903"/>
      <c r="E56" s="903"/>
      <c r="F56" s="968">
        <f>F49/F48*100</f>
        <v>26.423794087070522</v>
      </c>
      <c r="G56" s="968">
        <f>G49/G48*100</f>
        <v>25.671992633309387</v>
      </c>
      <c r="H56" s="1083">
        <f>H49/H48*100</f>
        <v>24.881950973376888</v>
      </c>
      <c r="I56" s="1083">
        <f>I49/I48*100</f>
        <v>24.570734995193146</v>
      </c>
      <c r="J56" s="1083">
        <f>J49/J48*100</f>
        <v>23.92024485709203</v>
      </c>
      <c r="K56" s="1084">
        <f>(((F56+100)*(100+G56)*(100+H56)*(100+I56)*(100+J56))^(1/5))-100</f>
        <v>25.09070988394214</v>
      </c>
      <c r="L56" s="444"/>
      <c r="O56" s="1137"/>
    </row>
    <row r="57" spans="1:15" ht="25.5" customHeight="1">
      <c r="A57" s="444"/>
      <c r="B57" s="445" t="s">
        <v>467</v>
      </c>
      <c r="C57" s="407" t="s">
        <v>291</v>
      </c>
      <c r="D57" s="903"/>
      <c r="E57" s="903"/>
      <c r="F57" s="968">
        <f>F51/F48*100</f>
        <v>25.35142906891589</v>
      </c>
      <c r="G57" s="968">
        <f>G51/G48*100</f>
        <v>25.49366995080371</v>
      </c>
      <c r="H57" s="1083">
        <f>H51/H48*100</f>
        <v>25.87570217975104</v>
      </c>
      <c r="I57" s="1083">
        <f>I51/I48*100</f>
        <v>26.056797964101523</v>
      </c>
      <c r="J57" s="1083">
        <f>J51/J48*100</f>
        <v>26.369772658175656</v>
      </c>
      <c r="K57" s="1084">
        <f>(((F57+100)*(100+G57)*(100+H57)*(100+I57)*(100+J57))^(1/5))-100</f>
        <v>25.828928457648587</v>
      </c>
      <c r="L57" s="444"/>
      <c r="M57" s="1214">
        <v>33734</v>
      </c>
      <c r="O57" s="1137"/>
    </row>
    <row r="58" spans="1:15" ht="25.5" customHeight="1">
      <c r="A58" s="444"/>
      <c r="B58" s="445" t="s">
        <v>468</v>
      </c>
      <c r="C58" s="407" t="s">
        <v>291</v>
      </c>
      <c r="D58" s="903"/>
      <c r="E58" s="903"/>
      <c r="F58" s="968">
        <f>F53/F48*100</f>
        <v>48.22477684401358</v>
      </c>
      <c r="G58" s="968">
        <f>G53/G48*100</f>
        <v>48.8343374158869</v>
      </c>
      <c r="H58" s="1083">
        <f>H53/H48*100</f>
        <v>49.24234684687207</v>
      </c>
      <c r="I58" s="1083">
        <f>I53/I48*100</f>
        <v>49.37246704070533</v>
      </c>
      <c r="J58" s="1083">
        <f>J53/J48*100</f>
        <v>49.709982484732315</v>
      </c>
      <c r="K58" s="1084">
        <f>(((F58+100)*(100+G58)*(100+H58)*(100+I58)*(100+J58))^(1/5))-100</f>
        <v>49.07590871969677</v>
      </c>
      <c r="L58" s="1030"/>
      <c r="M58" s="438">
        <f>M57/2.54</f>
        <v>13281.102362204725</v>
      </c>
      <c r="N58" s="1215">
        <f>K59/M58</f>
        <v>2.531051769863833</v>
      </c>
      <c r="O58" s="1138">
        <v>15637</v>
      </c>
    </row>
    <row r="59" spans="1:16" s="443" customFormat="1" ht="26.25" customHeight="1" thickBot="1">
      <c r="A59" s="441"/>
      <c r="B59" s="442" t="s">
        <v>478</v>
      </c>
      <c r="C59" s="420" t="s">
        <v>359</v>
      </c>
      <c r="D59" s="969">
        <v>30000</v>
      </c>
      <c r="E59" s="969">
        <f aca="true" t="shared" si="8" ref="E59:J59">E60+E61+E64</f>
        <v>5383.5</v>
      </c>
      <c r="F59" s="969">
        <f t="shared" si="8"/>
        <v>6244.001</v>
      </c>
      <c r="G59" s="969">
        <f t="shared" si="8"/>
        <v>6661.999</v>
      </c>
      <c r="H59" s="969">
        <f t="shared" si="8"/>
        <v>6568.984</v>
      </c>
      <c r="I59" s="969">
        <f t="shared" si="8"/>
        <v>6934.173639601</v>
      </c>
      <c r="J59" s="969">
        <f t="shared" si="8"/>
        <v>7206</v>
      </c>
      <c r="K59" s="1221">
        <f>K60+K61+K64</f>
        <v>33615.157639601</v>
      </c>
      <c r="L59" s="563" t="s">
        <v>36</v>
      </c>
      <c r="M59" s="1216">
        <f>K59/D59</f>
        <v>1.1205052546533667</v>
      </c>
      <c r="N59" s="853"/>
      <c r="O59" s="1138">
        <v>10772</v>
      </c>
      <c r="P59" s="1139"/>
    </row>
    <row r="60" spans="1:16" s="466" customFormat="1" ht="26.25" customHeight="1" thickBot="1">
      <c r="A60" s="463"/>
      <c r="B60" s="464" t="s">
        <v>479</v>
      </c>
      <c r="C60" s="407" t="s">
        <v>359</v>
      </c>
      <c r="D60" s="1032"/>
      <c r="E60" s="860">
        <v>801.5</v>
      </c>
      <c r="F60" s="970">
        <f>826.2-9.57</f>
        <v>816.63</v>
      </c>
      <c r="G60" s="970">
        <f>908.2</f>
        <v>908.2</v>
      </c>
      <c r="H60" s="971">
        <v>1232</v>
      </c>
      <c r="I60" s="971">
        <v>1325.173639601</v>
      </c>
      <c r="J60" s="1219">
        <v>1319</v>
      </c>
      <c r="K60" s="970">
        <f>SUM(F60:J60)</f>
        <v>5601.003639601</v>
      </c>
      <c r="L60" s="739"/>
      <c r="M60" s="1140"/>
      <c r="N60" s="854"/>
      <c r="O60" s="741">
        <f>SUM(O58:O59)</f>
        <v>26409</v>
      </c>
      <c r="P60" s="1141"/>
    </row>
    <row r="61" spans="1:16" s="466" customFormat="1" ht="26.25" customHeight="1">
      <c r="A61" s="463"/>
      <c r="B61" s="464" t="s">
        <v>480</v>
      </c>
      <c r="C61" s="407" t="s">
        <v>359</v>
      </c>
      <c r="D61" s="1032"/>
      <c r="E61" s="860">
        <v>2662</v>
      </c>
      <c r="F61" s="860">
        <v>3031</v>
      </c>
      <c r="G61" s="860">
        <v>2825</v>
      </c>
      <c r="H61" s="860">
        <v>2286.984</v>
      </c>
      <c r="I61" s="860">
        <v>2362</v>
      </c>
      <c r="J61" s="1220">
        <v>1892</v>
      </c>
      <c r="K61" s="860">
        <f>SUM(F61:J61)</f>
        <v>12396.984</v>
      </c>
      <c r="L61" s="860"/>
      <c r="M61" s="854"/>
      <c r="N61" s="741"/>
      <c r="O61" s="741">
        <f>J60+J61</f>
        <v>3211</v>
      </c>
      <c r="P61" s="855"/>
    </row>
    <row r="62" spans="1:16" s="446" customFormat="1" ht="26.25" customHeight="1">
      <c r="A62" s="447"/>
      <c r="B62" s="856" t="s">
        <v>730</v>
      </c>
      <c r="C62" s="857"/>
      <c r="D62" s="1020"/>
      <c r="E62" s="860"/>
      <c r="F62" s="860">
        <v>154</v>
      </c>
      <c r="G62" s="860">
        <v>205</v>
      </c>
      <c r="H62" s="860">
        <v>94.13</v>
      </c>
      <c r="I62" s="860">
        <v>253</v>
      </c>
      <c r="J62" s="860">
        <v>350</v>
      </c>
      <c r="K62" s="860">
        <f>SUM(F62:J62)</f>
        <v>1056.13</v>
      </c>
      <c r="L62" s="1033"/>
      <c r="M62" s="1138">
        <v>26409</v>
      </c>
      <c r="N62" s="1060"/>
      <c r="P62" s="885"/>
    </row>
    <row r="63" spans="1:16" s="446" customFormat="1" ht="26.25" customHeight="1" hidden="1">
      <c r="A63" s="447"/>
      <c r="B63" s="920" t="s">
        <v>733</v>
      </c>
      <c r="C63" s="857"/>
      <c r="D63" s="1020"/>
      <c r="E63" s="860"/>
      <c r="F63" s="860"/>
      <c r="G63" s="860"/>
      <c r="H63" s="860">
        <v>226</v>
      </c>
      <c r="I63" s="860">
        <v>255</v>
      </c>
      <c r="J63" s="860">
        <v>229</v>
      </c>
      <c r="K63" s="860"/>
      <c r="L63" s="1033"/>
      <c r="M63" s="850"/>
      <c r="P63" s="885"/>
    </row>
    <row r="64" spans="1:16" s="466" customFormat="1" ht="49.5" customHeight="1">
      <c r="A64" s="463"/>
      <c r="B64" s="921" t="s">
        <v>791</v>
      </c>
      <c r="C64" s="407" t="s">
        <v>359</v>
      </c>
      <c r="D64" s="1032"/>
      <c r="E64" s="860">
        <f aca="true" t="shared" si="9" ref="E64:J64">E66+E67</f>
        <v>1920</v>
      </c>
      <c r="F64" s="860">
        <f t="shared" si="9"/>
        <v>2396.371</v>
      </c>
      <c r="G64" s="860">
        <f t="shared" si="9"/>
        <v>2928.799</v>
      </c>
      <c r="H64" s="860">
        <f t="shared" si="9"/>
        <v>3050</v>
      </c>
      <c r="I64" s="860">
        <f t="shared" si="9"/>
        <v>3247</v>
      </c>
      <c r="J64" s="860">
        <f t="shared" si="9"/>
        <v>3995</v>
      </c>
      <c r="K64" s="860">
        <f>K66+K67</f>
        <v>15617.17</v>
      </c>
      <c r="L64" s="465"/>
      <c r="M64" s="1138">
        <v>10772</v>
      </c>
      <c r="N64" s="854">
        <f>M64/M62*100</f>
        <v>40.789124919535006</v>
      </c>
      <c r="O64" s="854"/>
      <c r="P64" s="855"/>
    </row>
    <row r="65" spans="1:13" s="466" customFormat="1" ht="26.25" customHeight="1" hidden="1">
      <c r="A65" s="463"/>
      <c r="B65" s="464"/>
      <c r="C65" s="407"/>
      <c r="D65" s="1032"/>
      <c r="E65" s="860"/>
      <c r="F65" s="860"/>
      <c r="G65" s="860"/>
      <c r="H65" s="860"/>
      <c r="I65" s="860"/>
      <c r="J65" s="860">
        <f>J64/I64*100-100</f>
        <v>23.03664921465969</v>
      </c>
      <c r="K65" s="860">
        <f>SUM(F65:J65)</f>
        <v>23.03664921465969</v>
      </c>
      <c r="L65" s="465"/>
      <c r="M65" s="850"/>
    </row>
    <row r="66" spans="1:14" s="466" customFormat="1" ht="51" customHeight="1">
      <c r="A66" s="463"/>
      <c r="B66" s="467" t="s">
        <v>792</v>
      </c>
      <c r="C66" s="407" t="s">
        <v>359</v>
      </c>
      <c r="D66" s="1032"/>
      <c r="E66" s="860">
        <v>1270</v>
      </c>
      <c r="F66" s="860">
        <f>1415.791-100</f>
        <v>1315.791</v>
      </c>
      <c r="G66" s="860">
        <f>1537.968+110.71</f>
        <v>1648.678</v>
      </c>
      <c r="H66" s="860">
        <v>1687.9</v>
      </c>
      <c r="I66" s="860">
        <v>1788</v>
      </c>
      <c r="J66" s="860">
        <v>2144</v>
      </c>
      <c r="K66" s="860">
        <f>SUM(F66:J66)</f>
        <v>8584.369</v>
      </c>
      <c r="L66" s="465"/>
      <c r="M66" s="850"/>
      <c r="N66" s="1142"/>
    </row>
    <row r="67" spans="1:16" s="466" customFormat="1" ht="32.25" customHeight="1">
      <c r="A67" s="463"/>
      <c r="B67" s="467" t="s">
        <v>481</v>
      </c>
      <c r="C67" s="407" t="s">
        <v>359</v>
      </c>
      <c r="D67" s="1032"/>
      <c r="E67" s="860">
        <v>650</v>
      </c>
      <c r="F67" s="860">
        <f>1150.79-70.21</f>
        <v>1080.58</v>
      </c>
      <c r="G67" s="860">
        <f>1180.121+100</f>
        <v>1280.121</v>
      </c>
      <c r="H67" s="860">
        <v>1362.1</v>
      </c>
      <c r="I67" s="860">
        <v>1459</v>
      </c>
      <c r="J67" s="1220">
        <v>1851</v>
      </c>
      <c r="K67" s="860">
        <f>SUM(F67:J67)</f>
        <v>7032.8009999999995</v>
      </c>
      <c r="L67" s="465"/>
      <c r="M67" s="1138">
        <v>19323</v>
      </c>
      <c r="N67" s="1142"/>
      <c r="P67" s="855"/>
    </row>
    <row r="68" spans="1:14" s="466" customFormat="1" ht="44.25" customHeight="1">
      <c r="A68" s="463"/>
      <c r="B68" s="464" t="s">
        <v>482</v>
      </c>
      <c r="C68" s="407" t="s">
        <v>359</v>
      </c>
      <c r="D68" s="1032"/>
      <c r="E68" s="465">
        <v>0</v>
      </c>
      <c r="F68" s="465">
        <v>0</v>
      </c>
      <c r="G68" s="465">
        <v>0</v>
      </c>
      <c r="H68" s="465">
        <v>0</v>
      </c>
      <c r="I68" s="465">
        <v>0</v>
      </c>
      <c r="J68" s="465">
        <v>0</v>
      </c>
      <c r="K68" s="558"/>
      <c r="L68" s="1061"/>
      <c r="M68" s="1138">
        <v>14411</v>
      </c>
      <c r="N68" s="852"/>
    </row>
    <row r="69" spans="1:14" s="461" customFormat="1" ht="69" customHeight="1">
      <c r="A69" s="458">
        <v>6</v>
      </c>
      <c r="B69" s="459" t="s">
        <v>483</v>
      </c>
      <c r="C69" s="460" t="s">
        <v>291</v>
      </c>
      <c r="D69" s="468">
        <v>64.22</v>
      </c>
      <c r="E69" s="468">
        <f aca="true" t="shared" si="10" ref="E69:J69">E59*1000/E30*100</f>
        <v>102.78458691326058</v>
      </c>
      <c r="F69" s="468">
        <f t="shared" si="10"/>
        <v>88.66364986894992</v>
      </c>
      <c r="G69" s="468">
        <f t="shared" si="10"/>
        <v>78.68855615218337</v>
      </c>
      <c r="H69" s="468">
        <f t="shared" si="10"/>
        <v>67.61787582593804</v>
      </c>
      <c r="I69" s="468">
        <f t="shared" si="10"/>
        <v>62.474360967899486</v>
      </c>
      <c r="J69" s="468">
        <f t="shared" si="10"/>
        <v>56.79095184425188</v>
      </c>
      <c r="K69" s="469">
        <f>(F69*G69*H69*I69*J69)^(1/5)</f>
        <v>69.94230410101544</v>
      </c>
      <c r="L69" s="555" t="s">
        <v>36</v>
      </c>
      <c r="M69" s="1143">
        <f>SUM(M67:M68)</f>
        <v>33734</v>
      </c>
      <c r="N69" s="1063">
        <f>M67/M69*100</f>
        <v>57.280488527894704</v>
      </c>
    </row>
    <row r="70" spans="1:14" s="461" customFormat="1" ht="39.75" customHeight="1">
      <c r="A70" s="458">
        <v>7</v>
      </c>
      <c r="B70" s="459" t="s">
        <v>484</v>
      </c>
      <c r="C70" s="460" t="s">
        <v>291</v>
      </c>
      <c r="D70" s="1031"/>
      <c r="E70" s="468"/>
      <c r="F70" s="468">
        <f>F59*1000/F48*100</f>
        <v>79.94183605012624</v>
      </c>
      <c r="G70" s="468">
        <f>G59*1000/G48*100</f>
        <v>76.19687848952191</v>
      </c>
      <c r="H70" s="468">
        <f>H59*1000/H48*100</f>
        <v>69.40035056295348</v>
      </c>
      <c r="I70" s="468">
        <f>I59*1000/I48*100</f>
        <v>65.89220688419482</v>
      </c>
      <c r="J70" s="468">
        <f>J59*1000/J48*100</f>
        <v>62.68438983844808</v>
      </c>
      <c r="K70" s="469">
        <f>(F70*G70*H70*I70*J70)^(1/5)</f>
        <v>70.536398903525</v>
      </c>
      <c r="L70" s="555" t="s">
        <v>36</v>
      </c>
      <c r="M70" s="1142"/>
      <c r="N70" s="1137"/>
    </row>
    <row r="71" spans="1:14" s="443" customFormat="1" ht="40.5" customHeight="1">
      <c r="A71" s="441">
        <v>8</v>
      </c>
      <c r="B71" s="442" t="s">
        <v>403</v>
      </c>
      <c r="C71" s="407" t="s">
        <v>291</v>
      </c>
      <c r="D71" s="1018"/>
      <c r="E71" s="1034"/>
      <c r="F71" s="1209" t="s">
        <v>709</v>
      </c>
      <c r="G71" s="1209" t="s">
        <v>710</v>
      </c>
      <c r="H71" s="1209" t="s">
        <v>711</v>
      </c>
      <c r="I71" s="1209" t="s">
        <v>804</v>
      </c>
      <c r="J71" s="1209" t="s">
        <v>805</v>
      </c>
      <c r="K71" s="1209" t="s">
        <v>806</v>
      </c>
      <c r="L71" s="441"/>
      <c r="M71" s="1142">
        <v>38.56</v>
      </c>
      <c r="N71" s="1137">
        <v>14356</v>
      </c>
    </row>
    <row r="72" spans="1:15" s="443" customFormat="1" ht="25.5" customHeight="1">
      <c r="A72" s="441">
        <v>9</v>
      </c>
      <c r="B72" s="442" t="s">
        <v>485</v>
      </c>
      <c r="C72" s="407"/>
      <c r="D72" s="1018"/>
      <c r="E72" s="1018">
        <v>13.3</v>
      </c>
      <c r="F72" s="1210">
        <f aca="true" t="shared" si="11" ref="F72:K72">F73+F78</f>
        <v>16.4633</v>
      </c>
      <c r="G72" s="1210">
        <f t="shared" si="11"/>
        <v>23.855</v>
      </c>
      <c r="H72" s="1210">
        <f t="shared" si="11"/>
        <v>28.049999999999997</v>
      </c>
      <c r="I72" s="1210">
        <f t="shared" si="11"/>
        <v>37.329</v>
      </c>
      <c r="J72" s="1210">
        <f t="shared" si="11"/>
        <v>42.5</v>
      </c>
      <c r="K72" s="1210">
        <f t="shared" si="11"/>
        <v>148.1973</v>
      </c>
      <c r="L72" s="441"/>
      <c r="M72" s="443">
        <f>SUM(M70:M71)</f>
        <v>38.56</v>
      </c>
      <c r="N72" s="853">
        <f>SUM(N70:N71)</f>
        <v>14356</v>
      </c>
      <c r="O72" s="443">
        <f>(J72/E72)^(1/5)*100-100</f>
        <v>26.155868513590192</v>
      </c>
    </row>
    <row r="73" spans="1:13" s="443" customFormat="1" ht="33">
      <c r="A73" s="441"/>
      <c r="B73" s="445" t="s">
        <v>543</v>
      </c>
      <c r="C73" s="407" t="s">
        <v>658</v>
      </c>
      <c r="D73" s="556">
        <v>71.5</v>
      </c>
      <c r="E73" s="1032"/>
      <c r="F73" s="1130">
        <v>10.327</v>
      </c>
      <c r="G73" s="1131">
        <v>13.885</v>
      </c>
      <c r="H73" s="1131">
        <v>18.641</v>
      </c>
      <c r="I73" s="1131">
        <v>24.1</v>
      </c>
      <c r="J73" s="1132">
        <v>26.5</v>
      </c>
      <c r="K73" s="1131">
        <f>SUM(F73:J73)</f>
        <v>93.453</v>
      </c>
      <c r="L73" s="709" t="s">
        <v>36</v>
      </c>
      <c r="M73" s="443">
        <v>1.217</v>
      </c>
    </row>
    <row r="74" spans="1:15" s="443" customFormat="1" ht="29.25" customHeight="1">
      <c r="A74" s="441"/>
      <c r="B74" s="451" t="s">
        <v>544</v>
      </c>
      <c r="C74" s="407" t="s">
        <v>291</v>
      </c>
      <c r="D74" s="1018"/>
      <c r="E74" s="1018"/>
      <c r="F74" s="1133">
        <v>21.49</v>
      </c>
      <c r="G74" s="1133">
        <f>G73/F73*100-100</f>
        <v>34.45337464897841</v>
      </c>
      <c r="H74" s="1133">
        <f>H73/G73*100-100</f>
        <v>34.25279078141878</v>
      </c>
      <c r="I74" s="1133">
        <f>I73/H73*100-100</f>
        <v>29.284909607853677</v>
      </c>
      <c r="J74" s="1133">
        <f>J73/I73*100-100</f>
        <v>9.958506224066383</v>
      </c>
      <c r="K74" s="1133">
        <f>SUM(F74:J74)/5</f>
        <v>25.887916252463448</v>
      </c>
      <c r="L74" s="709"/>
      <c r="M74" s="443">
        <f>SUM(M72:M73)</f>
        <v>39.777</v>
      </c>
      <c r="N74" s="1138">
        <v>14411</v>
      </c>
      <c r="O74" s="740">
        <f>N74/M69*100</f>
        <v>42.719511472105296</v>
      </c>
    </row>
    <row r="75" spans="1:12" ht="24" customHeight="1" hidden="1">
      <c r="A75" s="444"/>
      <c r="B75" s="445" t="s">
        <v>486</v>
      </c>
      <c r="C75" s="407" t="s">
        <v>487</v>
      </c>
      <c r="D75" s="903"/>
      <c r="E75" s="903"/>
      <c r="F75" s="1131">
        <v>5.033</v>
      </c>
      <c r="G75" s="1131">
        <v>8.014</v>
      </c>
      <c r="H75" s="1134">
        <v>8.9</v>
      </c>
      <c r="I75" s="1134">
        <v>11.7</v>
      </c>
      <c r="J75" s="1134">
        <v>12.5</v>
      </c>
      <c r="K75" s="1131"/>
      <c r="L75" s="709"/>
    </row>
    <row r="76" spans="1:12" s="446" customFormat="1" ht="37.5" customHeight="1" hidden="1">
      <c r="A76" s="444"/>
      <c r="B76" s="451" t="s">
        <v>488</v>
      </c>
      <c r="C76" s="407" t="s">
        <v>291</v>
      </c>
      <c r="D76" s="1020"/>
      <c r="E76" s="1020"/>
      <c r="F76" s="1133">
        <v>41.77</v>
      </c>
      <c r="G76" s="1133">
        <f>G75/F75*100-100</f>
        <v>59.229088019074084</v>
      </c>
      <c r="H76" s="1133">
        <f>((H75/G75)*100)-100</f>
        <v>11.055652607936125</v>
      </c>
      <c r="I76" s="1133">
        <f>((I75/H75)*100)-100</f>
        <v>31.460674157303345</v>
      </c>
      <c r="J76" s="1133">
        <f>((J75/I75)*100)-100</f>
        <v>6.837606837606842</v>
      </c>
      <c r="K76" s="1136">
        <f>(F76*G76*H76*I76*J76)^(1/5)</f>
        <v>22.59077920442475</v>
      </c>
      <c r="L76" s="709"/>
    </row>
    <row r="77" spans="1:12" s="446" customFormat="1" ht="37.5" customHeight="1">
      <c r="A77" s="444"/>
      <c r="B77" s="470" t="s">
        <v>545</v>
      </c>
      <c r="C77" s="407" t="s">
        <v>293</v>
      </c>
      <c r="D77" s="1020"/>
      <c r="E77" s="1020"/>
      <c r="F77" s="1133">
        <f>F73*1000000/F89</f>
        <v>20.21817697708202</v>
      </c>
      <c r="G77" s="1133">
        <f>G73*1000000/G89</f>
        <v>26.719239199250282</v>
      </c>
      <c r="H77" s="1133">
        <f>H73*1000000/H89</f>
        <v>35.273859195973245</v>
      </c>
      <c r="I77" s="1133">
        <f>I73*1000000/I89</f>
        <v>44.789794617418956</v>
      </c>
      <c r="J77" s="1133">
        <f>J73*1000000/J89</f>
        <v>48.412614317710975</v>
      </c>
      <c r="K77" s="1132">
        <f>(F77*G77*H77*I77*J77)^(1/5)</f>
        <v>33.36040643201284</v>
      </c>
      <c r="L77" s="709"/>
    </row>
    <row r="78" spans="1:14" s="446" customFormat="1" ht="37.5" customHeight="1">
      <c r="A78" s="444"/>
      <c r="B78" s="454" t="s">
        <v>546</v>
      </c>
      <c r="C78" s="407" t="s">
        <v>658</v>
      </c>
      <c r="D78" s="556">
        <v>57</v>
      </c>
      <c r="E78" s="1032"/>
      <c r="F78" s="1130">
        <v>6.1363</v>
      </c>
      <c r="G78" s="1130">
        <v>9.97</v>
      </c>
      <c r="H78" s="1130">
        <v>9.409</v>
      </c>
      <c r="I78" s="1130">
        <v>13.229</v>
      </c>
      <c r="J78" s="1130">
        <v>16</v>
      </c>
      <c r="K78" s="1130">
        <f>SUM(F78:J78)</f>
        <v>54.7443</v>
      </c>
      <c r="L78" s="709" t="s">
        <v>42</v>
      </c>
      <c r="M78" s="446" t="s">
        <v>518</v>
      </c>
      <c r="N78" s="371">
        <v>11397</v>
      </c>
    </row>
    <row r="79" spans="1:14" s="446" customFormat="1" ht="37.5" customHeight="1">
      <c r="A79" s="444"/>
      <c r="B79" s="451" t="s">
        <v>547</v>
      </c>
      <c r="C79" s="407" t="s">
        <v>291</v>
      </c>
      <c r="D79" s="1035">
        <v>127.23</v>
      </c>
      <c r="E79" s="1020"/>
      <c r="F79" s="1133">
        <v>10.77</v>
      </c>
      <c r="G79" s="1133">
        <f>G78/F78*100-100</f>
        <v>62.475759007871204</v>
      </c>
      <c r="H79" s="1133">
        <f>H78/G78*100-100</f>
        <v>-5.62688064192578</v>
      </c>
      <c r="I79" s="1133">
        <f>I78/H78*100-100</f>
        <v>40.599426081411394</v>
      </c>
      <c r="J79" s="1133">
        <f>J78/I78*100-100</f>
        <v>20.946405624007866</v>
      </c>
      <c r="K79" s="1133">
        <f>SUM(F79:J79)/5</f>
        <v>25.832942014272938</v>
      </c>
      <c r="L79" s="441"/>
      <c r="N79" s="1137">
        <v>10435</v>
      </c>
    </row>
    <row r="80" spans="1:14" s="446" customFormat="1" ht="37.5" customHeight="1">
      <c r="A80" s="444"/>
      <c r="B80" s="470" t="s">
        <v>290</v>
      </c>
      <c r="C80" s="407" t="s">
        <v>291</v>
      </c>
      <c r="D80" s="1020"/>
      <c r="E80" s="1020"/>
      <c r="F80" s="1135">
        <v>25.4547994630481</v>
      </c>
      <c r="G80" s="1135">
        <v>16.41165374135401</v>
      </c>
      <c r="H80" s="1135">
        <v>32.912655971479495</v>
      </c>
      <c r="I80" s="1135">
        <v>56.2289562289562</v>
      </c>
      <c r="J80" s="1135">
        <v>50</v>
      </c>
      <c r="K80" s="1133">
        <f>SUM(F80:J80)/5</f>
        <v>36.20161308096756</v>
      </c>
      <c r="L80" s="441"/>
      <c r="M80" s="446" t="s">
        <v>518</v>
      </c>
      <c r="N80" s="1064">
        <f>N78-N79</f>
        <v>962</v>
      </c>
    </row>
    <row r="81" spans="1:12" s="446" customFormat="1" ht="37.5" customHeight="1" hidden="1">
      <c r="A81" s="444"/>
      <c r="B81" s="451"/>
      <c r="C81" s="407"/>
      <c r="D81" s="1020"/>
      <c r="E81" s="1020"/>
      <c r="F81" s="559"/>
      <c r="G81" s="559"/>
      <c r="H81" s="559"/>
      <c r="I81" s="559"/>
      <c r="J81" s="559"/>
      <c r="K81" s="469"/>
      <c r="L81" s="441"/>
    </row>
    <row r="82" spans="1:12" ht="23.25" customHeight="1" hidden="1">
      <c r="A82" s="444"/>
      <c r="B82" s="470" t="s">
        <v>489</v>
      </c>
      <c r="C82" s="407" t="s">
        <v>293</v>
      </c>
      <c r="D82" s="903"/>
      <c r="E82" s="903"/>
      <c r="F82" s="968">
        <v>9.853595887058566</v>
      </c>
      <c r="G82" s="968">
        <v>16.36637590130527</v>
      </c>
      <c r="H82" s="968">
        <v>16.8787574200155</v>
      </c>
      <c r="I82" s="968">
        <v>21.8784827926668</v>
      </c>
      <c r="J82" s="968">
        <v>23.052692923376537</v>
      </c>
      <c r="K82" s="894"/>
      <c r="L82" s="444"/>
    </row>
    <row r="83" spans="1:12" ht="22.5" customHeight="1" hidden="1">
      <c r="A83" s="444"/>
      <c r="B83" s="445" t="s">
        <v>490</v>
      </c>
      <c r="C83" s="407" t="s">
        <v>487</v>
      </c>
      <c r="D83" s="903"/>
      <c r="E83" s="903"/>
      <c r="F83" s="456">
        <v>3.891</v>
      </c>
      <c r="G83" s="456">
        <v>7.4585</v>
      </c>
      <c r="H83" s="456">
        <v>9.45</v>
      </c>
      <c r="I83" s="456">
        <v>3</v>
      </c>
      <c r="J83" s="456">
        <v>3.5</v>
      </c>
      <c r="K83" s="894"/>
      <c r="L83" s="447"/>
    </row>
    <row r="84" spans="1:12" s="446" customFormat="1" ht="39.75" customHeight="1" hidden="1">
      <c r="A84" s="444"/>
      <c r="B84" s="451" t="s">
        <v>491</v>
      </c>
      <c r="C84" s="407" t="s">
        <v>291</v>
      </c>
      <c r="D84" s="1020"/>
      <c r="E84" s="1020"/>
      <c r="F84" s="559">
        <v>44.1111111111111</v>
      </c>
      <c r="G84" s="559">
        <f>((G83/F83)*100)-100</f>
        <v>91.68594191724492</v>
      </c>
      <c r="H84" s="559">
        <f>((H83/G83)*100)-100</f>
        <v>26.701079305490367</v>
      </c>
      <c r="I84" s="559">
        <f>((I83/H83)*100)-100</f>
        <v>-68.25396825396825</v>
      </c>
      <c r="J84" s="559">
        <f>((J83/I83)*100)-100</f>
        <v>16.66666666666667</v>
      </c>
      <c r="K84" s="469">
        <f>(F84*G84*H84*I84*J84)^(1/5)</f>
        <v>-41.4831038900163</v>
      </c>
      <c r="L84" s="444"/>
    </row>
    <row r="85" spans="1:12" s="446" customFormat="1" ht="24" customHeight="1" hidden="1">
      <c r="A85" s="444"/>
      <c r="B85" s="470" t="s">
        <v>290</v>
      </c>
      <c r="C85" s="407" t="s">
        <v>487</v>
      </c>
      <c r="D85" s="1020"/>
      <c r="E85" s="1020"/>
      <c r="F85" s="560">
        <f>F83-F75</f>
        <v>-1.1420000000000003</v>
      </c>
      <c r="G85" s="560">
        <f>G83-G75</f>
        <v>-0.5554999999999994</v>
      </c>
      <c r="H85" s="560">
        <f>H83-H75</f>
        <v>0.5499999999999989</v>
      </c>
      <c r="I85" s="560">
        <f>I83-I75</f>
        <v>-8.7</v>
      </c>
      <c r="J85" s="560">
        <f>J83-J75</f>
        <v>-9</v>
      </c>
      <c r="K85" s="1036"/>
      <c r="L85" s="1037"/>
    </row>
    <row r="86" spans="1:12" ht="24" customHeight="1" hidden="1">
      <c r="A86" s="444"/>
      <c r="B86" s="470" t="s">
        <v>290</v>
      </c>
      <c r="C86" s="407" t="s">
        <v>291</v>
      </c>
      <c r="D86" s="903"/>
      <c r="E86" s="903"/>
      <c r="F86" s="894"/>
      <c r="G86" s="894"/>
      <c r="H86" s="894"/>
      <c r="I86" s="894"/>
      <c r="J86" s="894"/>
      <c r="K86" s="894"/>
      <c r="L86" s="444"/>
    </row>
    <row r="87" spans="1:14" s="443" customFormat="1" ht="27" customHeight="1">
      <c r="A87" s="441">
        <v>10</v>
      </c>
      <c r="B87" s="442" t="s">
        <v>492</v>
      </c>
      <c r="C87" s="407" t="s">
        <v>291</v>
      </c>
      <c r="D87" s="1018"/>
      <c r="E87" s="1018"/>
      <c r="F87" s="891">
        <v>113.46</v>
      </c>
      <c r="G87" s="891">
        <v>107.63</v>
      </c>
      <c r="H87" s="891">
        <v>106.96</v>
      </c>
      <c r="I87" s="891">
        <v>105.05</v>
      </c>
      <c r="J87" s="891">
        <v>105.35</v>
      </c>
      <c r="K87" s="469">
        <f>(F87*G87*H87*I87*J87)^(1/5)</f>
        <v>107.64791489260732</v>
      </c>
      <c r="L87" s="441"/>
      <c r="N87" s="443">
        <v>2441</v>
      </c>
    </row>
    <row r="88" spans="1:14" s="443" customFormat="1" ht="27.75" customHeight="1">
      <c r="A88" s="441" t="s">
        <v>11</v>
      </c>
      <c r="B88" s="442" t="s">
        <v>289</v>
      </c>
      <c r="C88" s="407"/>
      <c r="D88" s="1018"/>
      <c r="E88" s="1018"/>
      <c r="F88" s="891"/>
      <c r="G88" s="891"/>
      <c r="H88" s="891"/>
      <c r="I88" s="891"/>
      <c r="J88" s="891"/>
      <c r="K88" s="471"/>
      <c r="L88" s="441"/>
      <c r="N88" s="1065">
        <f>N80+N87</f>
        <v>3403</v>
      </c>
    </row>
    <row r="89" spans="1:12" ht="24" customHeight="1">
      <c r="A89" s="444"/>
      <c r="B89" s="470" t="s">
        <v>493</v>
      </c>
      <c r="C89" s="407" t="s">
        <v>367</v>
      </c>
      <c r="D89" s="1144">
        <v>578733</v>
      </c>
      <c r="E89" s="1145">
        <v>501163</v>
      </c>
      <c r="F89" s="487">
        <v>510778</v>
      </c>
      <c r="G89" s="487">
        <v>519663</v>
      </c>
      <c r="H89" s="487">
        <v>528465</v>
      </c>
      <c r="I89" s="1146">
        <v>538069</v>
      </c>
      <c r="J89" s="1146">
        <v>547378</v>
      </c>
      <c r="K89" s="1147">
        <v>547378</v>
      </c>
      <c r="L89" s="472" t="s">
        <v>712</v>
      </c>
    </row>
    <row r="90" spans="1:12" ht="23.25" customHeight="1">
      <c r="A90" s="444"/>
      <c r="B90" s="470" t="s">
        <v>494</v>
      </c>
      <c r="C90" s="407" t="s">
        <v>291</v>
      </c>
      <c r="D90" s="1148">
        <v>2.78</v>
      </c>
      <c r="E90" s="1148">
        <v>2.12</v>
      </c>
      <c r="F90" s="1149">
        <v>1.92</v>
      </c>
      <c r="G90" s="1149">
        <v>1.74</v>
      </c>
      <c r="H90" s="1149">
        <v>1.69</v>
      </c>
      <c r="I90" s="1150">
        <v>1.82</v>
      </c>
      <c r="J90" s="1150">
        <v>1.73</v>
      </c>
      <c r="K90" s="1150">
        <v>1.73</v>
      </c>
      <c r="L90" s="472" t="s">
        <v>712</v>
      </c>
    </row>
    <row r="91" spans="1:12" ht="23.25" customHeight="1" hidden="1">
      <c r="A91" s="444"/>
      <c r="B91" s="470"/>
      <c r="C91" s="407"/>
      <c r="D91" s="1027"/>
      <c r="E91" s="1027">
        <v>50.1</v>
      </c>
      <c r="F91" s="449">
        <f>E91-F92</f>
        <v>45.370000000000005</v>
      </c>
      <c r="G91" s="449">
        <f>F91-G92</f>
        <v>38.330000000000005</v>
      </c>
      <c r="H91" s="449">
        <f>G91-H92</f>
        <v>35.31</v>
      </c>
      <c r="I91" s="894" t="s">
        <v>518</v>
      </c>
      <c r="J91" s="968"/>
      <c r="K91" s="968"/>
      <c r="L91" s="472"/>
    </row>
    <row r="92" spans="1:13" ht="41.25" customHeight="1">
      <c r="A92" s="444"/>
      <c r="B92" s="470" t="s">
        <v>495</v>
      </c>
      <c r="C92" s="407" t="s">
        <v>291</v>
      </c>
      <c r="D92" s="968">
        <v>3.74</v>
      </c>
      <c r="E92" s="903"/>
      <c r="F92" s="968">
        <v>4.73</v>
      </c>
      <c r="G92" s="1218">
        <v>7.04</v>
      </c>
      <c r="H92" s="1218">
        <v>3.02</v>
      </c>
      <c r="I92" s="1218">
        <v>2.65</v>
      </c>
      <c r="J92" s="1218">
        <v>4.56</v>
      </c>
      <c r="K92" s="1218">
        <f>(F92*G92*H92*I92*J92)^(1/5)</f>
        <v>4.139332295364205</v>
      </c>
      <c r="L92" s="472" t="s">
        <v>36</v>
      </c>
      <c r="M92" s="438">
        <v>31.29</v>
      </c>
    </row>
    <row r="93" spans="1:12" ht="34.5" customHeight="1">
      <c r="A93" s="444"/>
      <c r="B93" s="470" t="s">
        <v>496</v>
      </c>
      <c r="C93" s="407" t="s">
        <v>367</v>
      </c>
      <c r="D93" s="895" t="s">
        <v>528</v>
      </c>
      <c r="E93" s="895">
        <v>8000</v>
      </c>
      <c r="F93" s="895">
        <v>8669</v>
      </c>
      <c r="G93" s="895">
        <v>8450</v>
      </c>
      <c r="H93" s="895">
        <v>8475</v>
      </c>
      <c r="I93" s="1151">
        <v>8534</v>
      </c>
      <c r="J93" s="1151">
        <v>8500</v>
      </c>
      <c r="K93" s="1152">
        <f>(F93+G93+H93+I93+J93)/5</f>
        <v>8525.6</v>
      </c>
      <c r="L93" s="472" t="s">
        <v>36</v>
      </c>
    </row>
    <row r="94" spans="1:12" ht="55.5" customHeight="1">
      <c r="A94" s="444"/>
      <c r="B94" s="470" t="s">
        <v>497</v>
      </c>
      <c r="C94" s="407" t="s">
        <v>291</v>
      </c>
      <c r="D94" s="968">
        <v>44.8</v>
      </c>
      <c r="E94" s="968">
        <v>29.51</v>
      </c>
      <c r="F94" s="968">
        <v>32.41</v>
      </c>
      <c r="G94" s="968">
        <v>35.62</v>
      </c>
      <c r="H94" s="968">
        <v>38.52</v>
      </c>
      <c r="I94" s="968">
        <v>41.3</v>
      </c>
      <c r="J94" s="968">
        <v>43.77</v>
      </c>
      <c r="K94" s="901">
        <v>42.7</v>
      </c>
      <c r="L94" s="472" t="s">
        <v>548</v>
      </c>
    </row>
    <row r="95" spans="1:13" ht="33.75" customHeight="1">
      <c r="A95" s="444"/>
      <c r="B95" s="470" t="s">
        <v>498</v>
      </c>
      <c r="C95" s="407" t="s">
        <v>291</v>
      </c>
      <c r="D95" s="968">
        <v>3.2</v>
      </c>
      <c r="E95" s="968">
        <v>4.2</v>
      </c>
      <c r="F95" s="968">
        <v>4.1</v>
      </c>
      <c r="G95" s="968">
        <v>3.9</v>
      </c>
      <c r="H95" s="968">
        <v>3.7</v>
      </c>
      <c r="I95" s="968">
        <v>3.5</v>
      </c>
      <c r="J95" s="968">
        <v>3.3</v>
      </c>
      <c r="K95" s="557">
        <v>3.2</v>
      </c>
      <c r="L95" s="472" t="s">
        <v>36</v>
      </c>
      <c r="M95" s="861"/>
    </row>
    <row r="96" spans="1:12" ht="23.25" customHeight="1">
      <c r="A96" s="444"/>
      <c r="B96" s="470" t="s">
        <v>499</v>
      </c>
      <c r="C96" s="407" t="s">
        <v>399</v>
      </c>
      <c r="D96" s="903">
        <v>67.6</v>
      </c>
      <c r="E96" s="903"/>
      <c r="F96" s="968">
        <v>67</v>
      </c>
      <c r="G96" s="968">
        <v>66.8</v>
      </c>
      <c r="H96" s="968">
        <v>66.9</v>
      </c>
      <c r="I96" s="968">
        <v>67.2</v>
      </c>
      <c r="J96" s="968">
        <v>67.4</v>
      </c>
      <c r="K96" s="894">
        <v>67.4</v>
      </c>
      <c r="L96" s="472" t="s">
        <v>548</v>
      </c>
    </row>
    <row r="97" spans="1:12" ht="37.5" customHeight="1">
      <c r="A97" s="444"/>
      <c r="B97" s="470" t="s">
        <v>500</v>
      </c>
      <c r="C97" s="407" t="s">
        <v>295</v>
      </c>
      <c r="D97" s="902">
        <v>85</v>
      </c>
      <c r="E97" s="903"/>
      <c r="F97" s="968">
        <v>71</v>
      </c>
      <c r="G97" s="968">
        <v>70.5</v>
      </c>
      <c r="H97" s="968">
        <v>70</v>
      </c>
      <c r="I97" s="968">
        <v>73.4</v>
      </c>
      <c r="J97" s="968">
        <v>77.5</v>
      </c>
      <c r="K97" s="556">
        <v>77.5</v>
      </c>
      <c r="L97" s="444" t="s">
        <v>548</v>
      </c>
    </row>
    <row r="98" spans="1:12" ht="33.75" customHeight="1">
      <c r="A98" s="444"/>
      <c r="B98" s="470" t="s">
        <v>501</v>
      </c>
      <c r="C98" s="407" t="s">
        <v>295</v>
      </c>
      <c r="D98" s="902">
        <v>3</v>
      </c>
      <c r="E98" s="903"/>
      <c r="F98" s="561">
        <v>2.9</v>
      </c>
      <c r="G98" s="561">
        <v>3.07</v>
      </c>
      <c r="H98" s="561">
        <v>2.8</v>
      </c>
      <c r="I98" s="561">
        <v>3.1</v>
      </c>
      <c r="J98" s="562">
        <v>3.3</v>
      </c>
      <c r="K98" s="903">
        <v>3.3</v>
      </c>
      <c r="L98" s="444" t="s">
        <v>36</v>
      </c>
    </row>
    <row r="99" spans="1:12" ht="46.5" customHeight="1">
      <c r="A99" s="444"/>
      <c r="B99" s="470" t="s">
        <v>502</v>
      </c>
      <c r="C99" s="407" t="s">
        <v>296</v>
      </c>
      <c r="D99" s="903"/>
      <c r="E99" s="903"/>
      <c r="F99" s="968">
        <v>12.26</v>
      </c>
      <c r="G99" s="968">
        <v>12.6</v>
      </c>
      <c r="H99" s="968">
        <v>12.8</v>
      </c>
      <c r="I99" s="968">
        <v>13.1</v>
      </c>
      <c r="J99" s="968">
        <v>13.3</v>
      </c>
      <c r="K99" s="894"/>
      <c r="L99" s="444"/>
    </row>
    <row r="100" spans="1:12" ht="28.5" customHeight="1">
      <c r="A100" s="444"/>
      <c r="B100" s="451" t="s">
        <v>214</v>
      </c>
      <c r="C100" s="407"/>
      <c r="D100" s="903"/>
      <c r="E100" s="903"/>
      <c r="F100" s="894"/>
      <c r="G100" s="894"/>
      <c r="H100" s="894"/>
      <c r="I100" s="894"/>
      <c r="J100" s="894"/>
      <c r="K100" s="894"/>
      <c r="L100" s="444"/>
    </row>
    <row r="101" spans="1:12" ht="35.25" customHeight="1">
      <c r="A101" s="444"/>
      <c r="B101" s="470" t="s">
        <v>503</v>
      </c>
      <c r="C101" s="407" t="s">
        <v>296</v>
      </c>
      <c r="D101" s="903"/>
      <c r="E101" s="903"/>
      <c r="F101" s="968">
        <v>19.8</v>
      </c>
      <c r="G101" s="968">
        <v>20.3</v>
      </c>
      <c r="H101" s="968">
        <v>20.6</v>
      </c>
      <c r="I101" s="968">
        <v>20.7</v>
      </c>
      <c r="J101" s="968">
        <v>20.9</v>
      </c>
      <c r="K101" s="894"/>
      <c r="L101" s="444"/>
    </row>
    <row r="102" spans="1:12" ht="36.75" customHeight="1">
      <c r="A102" s="444"/>
      <c r="B102" s="470" t="s">
        <v>504</v>
      </c>
      <c r="C102" s="407" t="s">
        <v>296</v>
      </c>
      <c r="D102" s="903"/>
      <c r="E102" s="903"/>
      <c r="F102" s="968">
        <v>11.21</v>
      </c>
      <c r="G102" s="968">
        <v>11.24</v>
      </c>
      <c r="H102" s="968">
        <v>11.27</v>
      </c>
      <c r="I102" s="968">
        <v>11.3</v>
      </c>
      <c r="J102" s="968">
        <v>11.35</v>
      </c>
      <c r="K102" s="894"/>
      <c r="L102" s="444"/>
    </row>
    <row r="103" spans="1:12" s="443" customFormat="1" ht="57" customHeight="1">
      <c r="A103" s="441" t="s">
        <v>15</v>
      </c>
      <c r="B103" s="442" t="s">
        <v>379</v>
      </c>
      <c r="C103" s="472"/>
      <c r="D103" s="1018"/>
      <c r="E103" s="1018"/>
      <c r="F103" s="891"/>
      <c r="G103" s="891">
        <f>G104-F104</f>
        <v>3.6299999999999955</v>
      </c>
      <c r="H103" s="891">
        <f>H104-G104</f>
        <v>0.7100000000000009</v>
      </c>
      <c r="I103" s="891">
        <f>I104-H104</f>
        <v>0.35999999999999943</v>
      </c>
      <c r="J103" s="891">
        <f>J104-I104</f>
        <v>0.5400000000000063</v>
      </c>
      <c r="K103" s="891"/>
      <c r="L103" s="1067">
        <f>K104-E104</f>
        <v>5.609999999999999</v>
      </c>
    </row>
    <row r="104" spans="1:13" ht="30.75" customHeight="1">
      <c r="A104" s="472"/>
      <c r="B104" s="470" t="s">
        <v>505</v>
      </c>
      <c r="C104" s="472" t="s">
        <v>5</v>
      </c>
      <c r="D104" s="1038">
        <v>45.2</v>
      </c>
      <c r="E104" s="1100">
        <v>36.2</v>
      </c>
      <c r="F104" s="1073">
        <v>36.6</v>
      </c>
      <c r="G104" s="1073">
        <v>40.23</v>
      </c>
      <c r="H104" s="894">
        <v>40.94</v>
      </c>
      <c r="I104" s="1074">
        <v>41.3</v>
      </c>
      <c r="J104" s="968">
        <v>41.84</v>
      </c>
      <c r="K104" s="968">
        <v>41.81</v>
      </c>
      <c r="L104" s="444" t="s">
        <v>42</v>
      </c>
      <c r="M104" s="861">
        <f>J104-E104</f>
        <v>5.640000000000001</v>
      </c>
    </row>
    <row r="105" spans="1:12" ht="42" customHeight="1">
      <c r="A105" s="472"/>
      <c r="B105" s="470" t="s">
        <v>506</v>
      </c>
      <c r="C105" s="472" t="s">
        <v>5</v>
      </c>
      <c r="D105" s="1039">
        <v>95</v>
      </c>
      <c r="E105" s="1101">
        <v>53.95</v>
      </c>
      <c r="F105" s="894">
        <v>54.76</v>
      </c>
      <c r="G105" s="1073">
        <v>56.77</v>
      </c>
      <c r="H105" s="1073">
        <v>57.18</v>
      </c>
      <c r="I105" s="1073">
        <v>59.18</v>
      </c>
      <c r="J105" s="1073">
        <v>61.18</v>
      </c>
      <c r="K105" s="1074">
        <v>57.8</v>
      </c>
      <c r="L105" s="444" t="s">
        <v>42</v>
      </c>
    </row>
    <row r="106" spans="1:13" ht="36" customHeight="1">
      <c r="A106" s="472"/>
      <c r="B106" s="470" t="s">
        <v>507</v>
      </c>
      <c r="C106" s="472" t="s">
        <v>5</v>
      </c>
      <c r="D106" s="1038">
        <v>100</v>
      </c>
      <c r="E106" s="1038">
        <v>93.84</v>
      </c>
      <c r="F106" s="894">
        <v>94.47</v>
      </c>
      <c r="G106" s="894">
        <v>95.55</v>
      </c>
      <c r="H106" s="894">
        <v>96.17</v>
      </c>
      <c r="I106" s="894">
        <v>96.82</v>
      </c>
      <c r="J106" s="894">
        <v>97.49</v>
      </c>
      <c r="K106" s="894">
        <v>97.49</v>
      </c>
      <c r="L106" s="444" t="s">
        <v>42</v>
      </c>
      <c r="M106" s="438" t="s">
        <v>713</v>
      </c>
    </row>
    <row r="107" spans="1:12" ht="47.25" customHeight="1">
      <c r="A107" s="472"/>
      <c r="B107" s="470" t="s">
        <v>508</v>
      </c>
      <c r="C107" s="472" t="s">
        <v>5</v>
      </c>
      <c r="D107" s="1038"/>
      <c r="E107" s="1038"/>
      <c r="F107" s="894">
        <v>14.28</v>
      </c>
      <c r="G107" s="894">
        <v>28.57</v>
      </c>
      <c r="H107" s="894">
        <v>28.57</v>
      </c>
      <c r="I107" s="894">
        <v>42.85</v>
      </c>
      <c r="J107" s="894">
        <v>57.14</v>
      </c>
      <c r="K107" s="894">
        <v>57.14</v>
      </c>
      <c r="L107" s="444"/>
    </row>
    <row r="108" spans="1:12" ht="39" customHeight="1">
      <c r="A108" s="472"/>
      <c r="B108" s="470" t="s">
        <v>509</v>
      </c>
      <c r="C108" s="472" t="s">
        <v>5</v>
      </c>
      <c r="D108" s="1038"/>
      <c r="E108" s="1038"/>
      <c r="F108" s="968">
        <v>17.6</v>
      </c>
      <c r="G108" s="968">
        <v>28</v>
      </c>
      <c r="H108" s="968">
        <v>34.6</v>
      </c>
      <c r="I108" s="968">
        <v>30</v>
      </c>
      <c r="J108" s="968">
        <v>35</v>
      </c>
      <c r="K108" s="968">
        <v>35</v>
      </c>
      <c r="L108" s="444"/>
    </row>
    <row r="109" spans="1:12" ht="56.25" customHeight="1">
      <c r="A109" s="472"/>
      <c r="B109" s="470" t="s">
        <v>510</v>
      </c>
      <c r="C109" s="472" t="s">
        <v>5</v>
      </c>
      <c r="D109" s="1038"/>
      <c r="E109" s="1038"/>
      <c r="F109" s="894">
        <v>0</v>
      </c>
      <c r="G109" s="894">
        <v>0</v>
      </c>
      <c r="H109" s="894">
        <v>0</v>
      </c>
      <c r="I109" s="968">
        <v>25</v>
      </c>
      <c r="J109" s="968">
        <v>25</v>
      </c>
      <c r="K109" s="471"/>
      <c r="L109" s="444"/>
    </row>
    <row r="110" spans="2:5" ht="24.75" customHeight="1">
      <c r="B110" s="1295" t="s">
        <v>404</v>
      </c>
      <c r="C110" s="1295"/>
      <c r="D110" s="1295"/>
      <c r="E110" s="473"/>
    </row>
    <row r="111" spans="2:11" ht="31.5" customHeight="1">
      <c r="B111" s="436" t="s">
        <v>807</v>
      </c>
      <c r="E111" s="887"/>
      <c r="F111" s="438">
        <v>20.932</v>
      </c>
      <c r="G111" s="438">
        <v>20.913</v>
      </c>
      <c r="H111" s="438">
        <v>20.937</v>
      </c>
      <c r="I111" s="438">
        <v>20.943</v>
      </c>
      <c r="J111" s="438">
        <v>20.948</v>
      </c>
      <c r="K111" s="888">
        <v>20.935</v>
      </c>
    </row>
    <row r="112" ht="24.75" customHeight="1"/>
    <row r="113" spans="2:20" ht="44.25" customHeight="1">
      <c r="B113" s="436" t="s">
        <v>725</v>
      </c>
      <c r="C113" s="1299" t="s">
        <v>726</v>
      </c>
      <c r="F113" s="889">
        <v>363780</v>
      </c>
      <c r="G113" s="889">
        <v>366160</v>
      </c>
      <c r="H113" s="889">
        <v>369021</v>
      </c>
      <c r="I113" s="889">
        <v>401922</v>
      </c>
      <c r="J113" s="889">
        <v>408767</v>
      </c>
      <c r="M113" s="1294" t="s">
        <v>727</v>
      </c>
      <c r="N113" s="1294"/>
      <c r="O113" s="1294"/>
      <c r="P113" s="1294"/>
      <c r="Q113" s="1294"/>
      <c r="R113" s="1294"/>
      <c r="S113" s="1294"/>
      <c r="T113" s="1294"/>
    </row>
    <row r="114" spans="2:20" ht="44.25" customHeight="1">
      <c r="B114" s="436" t="s">
        <v>728</v>
      </c>
      <c r="C114" s="1299"/>
      <c r="F114" s="889">
        <v>10717</v>
      </c>
      <c r="G114" s="889">
        <v>11236</v>
      </c>
      <c r="H114" s="889">
        <v>13400</v>
      </c>
      <c r="I114" s="889">
        <v>13870</v>
      </c>
      <c r="J114" s="889">
        <v>14500</v>
      </c>
      <c r="M114" s="1294"/>
      <c r="N114" s="1294"/>
      <c r="O114" s="1294"/>
      <c r="P114" s="1294"/>
      <c r="Q114" s="1294"/>
      <c r="R114" s="1294"/>
      <c r="S114" s="1294"/>
      <c r="T114" s="1294"/>
    </row>
    <row r="115" spans="2:20" ht="44.25" customHeight="1">
      <c r="B115" s="470" t="s">
        <v>500</v>
      </c>
      <c r="C115" s="1299"/>
      <c r="F115" s="889">
        <f>F113/F90*100</f>
        <v>18946875</v>
      </c>
      <c r="G115" s="889">
        <f>G113/G90*100</f>
        <v>21043678.16091954</v>
      </c>
      <c r="H115" s="889">
        <f>H113/H90*100</f>
        <v>21835562.130177516</v>
      </c>
      <c r="I115" s="889">
        <f>I113/I90*100</f>
        <v>22083626.373626374</v>
      </c>
      <c r="J115" s="889">
        <f>J113/J90*100</f>
        <v>23628150.289017342</v>
      </c>
      <c r="M115" s="1294"/>
      <c r="N115" s="1294"/>
      <c r="O115" s="1294"/>
      <c r="P115" s="1294"/>
      <c r="Q115" s="1294"/>
      <c r="R115" s="1294"/>
      <c r="S115" s="1294"/>
      <c r="T115" s="1294"/>
    </row>
    <row r="116" spans="2:20" ht="44.25" customHeight="1">
      <c r="B116" s="470" t="s">
        <v>501</v>
      </c>
      <c r="C116" s="1299"/>
      <c r="F116" s="890">
        <f>F114/F90*100</f>
        <v>558177.0833333334</v>
      </c>
      <c r="G116" s="890">
        <f>G114/G90*100</f>
        <v>645747.1264367816</v>
      </c>
      <c r="H116" s="890">
        <f>H114/H90*100</f>
        <v>792899.4082840236</v>
      </c>
      <c r="I116" s="890">
        <f>I114/I90*100</f>
        <v>762087.9120879121</v>
      </c>
      <c r="J116" s="890">
        <f>J114/J90*100</f>
        <v>838150.2890173411</v>
      </c>
      <c r="M116" s="1294"/>
      <c r="N116" s="1294"/>
      <c r="O116" s="1294"/>
      <c r="P116" s="1294"/>
      <c r="Q116" s="1294"/>
      <c r="R116" s="1294"/>
      <c r="S116" s="1294"/>
      <c r="T116" s="1294"/>
    </row>
    <row r="118" spans="5:9" ht="44.25" customHeight="1">
      <c r="E118" s="437">
        <v>3497804</v>
      </c>
      <c r="F118" s="438">
        <v>3839200</v>
      </c>
      <c r="G118" s="438">
        <v>3678493</v>
      </c>
      <c r="H118" s="438">
        <v>3609100</v>
      </c>
      <c r="I118" s="438">
        <v>3455643</v>
      </c>
    </row>
    <row r="119" spans="5:10" ht="44.25" customHeight="1">
      <c r="E119" s="858">
        <f>E118/1000</f>
        <v>3497.804</v>
      </c>
      <c r="F119" s="858">
        <f>F118/1000</f>
        <v>3839.2</v>
      </c>
      <c r="G119" s="858">
        <f>G118/1000</f>
        <v>3678.493</v>
      </c>
      <c r="H119" s="858">
        <f>H118/1000</f>
        <v>3609.1</v>
      </c>
      <c r="I119" s="858">
        <f>I118/1000</f>
        <v>3455.643</v>
      </c>
      <c r="J119" s="859">
        <f>SUM(E119:I119)</f>
        <v>18080.239999999998</v>
      </c>
    </row>
    <row r="120" spans="5:10" ht="44.25" customHeight="1">
      <c r="E120" s="437">
        <v>826.2</v>
      </c>
      <c r="F120" s="438">
        <v>908.2</v>
      </c>
      <c r="G120" s="438">
        <v>1232.5</v>
      </c>
      <c r="H120" s="438">
        <v>1355.1</v>
      </c>
      <c r="I120" s="438">
        <v>1379.1</v>
      </c>
      <c r="J120" s="438">
        <v>5701.1</v>
      </c>
    </row>
    <row r="121" spans="5:10" ht="44.25" customHeight="1">
      <c r="E121" s="858">
        <v>2671.6040000000003</v>
      </c>
      <c r="F121" s="858">
        <v>2931</v>
      </c>
      <c r="G121" s="858">
        <v>2445.993</v>
      </c>
      <c r="H121" s="858">
        <v>2254</v>
      </c>
      <c r="I121" s="858">
        <v>2076.543</v>
      </c>
      <c r="J121" s="858">
        <v>12379.14</v>
      </c>
    </row>
  </sheetData>
  <sheetProtection/>
  <mergeCells count="6">
    <mergeCell ref="M113:T116"/>
    <mergeCell ref="B110:D110"/>
    <mergeCell ref="K1:L1"/>
    <mergeCell ref="B2:L2"/>
    <mergeCell ref="B3:L3"/>
    <mergeCell ref="C113:C116"/>
  </mergeCells>
  <printOptions horizontalCentered="1"/>
  <pageMargins left="0.54" right="0.42" top="0.65" bottom="0.58" header="0.118110236220472" footer="0.2"/>
  <pageSetup fitToHeight="0" fitToWidth="1" horizontalDpi="600" verticalDpi="600" orientation="landscape" paperSize="9" scale="79" r:id="rId3"/>
  <headerFooter alignWithMargins="0">
    <oddFooter>&amp;R&amp;P/&amp;N</oddFooter>
  </headerFooter>
  <legacyDrawing r:id="rId2"/>
</worksheet>
</file>

<file path=xl/worksheets/sheet5.xml><?xml version="1.0" encoding="utf-8"?>
<worksheet xmlns="http://schemas.openxmlformats.org/spreadsheetml/2006/main" xmlns:r="http://schemas.openxmlformats.org/officeDocument/2006/relationships">
  <sheetPr>
    <tabColor indexed="10"/>
  </sheetPr>
  <dimension ref="A1:W249"/>
  <sheetViews>
    <sheetView zoomScale="85" zoomScaleNormal="85" zoomScaleSheetLayoutView="85" zoomScalePageLayoutView="0" workbookViewId="0" topLeftCell="A1">
      <selection activeCell="C13" sqref="C13"/>
    </sheetView>
  </sheetViews>
  <sheetFormatPr defaultColWidth="9.140625" defaultRowHeight="12.75"/>
  <cols>
    <col min="1" max="1" width="5.8515625" style="369" customWidth="1"/>
    <col min="2" max="2" width="33.7109375" style="365" customWidth="1"/>
    <col min="3" max="3" width="12.57421875" style="366" customWidth="1"/>
    <col min="4" max="4" width="13.28125" style="369" customWidth="1"/>
    <col min="5" max="5" width="12.00390625" style="364" customWidth="1"/>
    <col min="6" max="6" width="11.421875" style="364" customWidth="1"/>
    <col min="7" max="7" width="11.7109375" style="364" customWidth="1"/>
    <col min="8" max="9" width="11.421875" style="364" customWidth="1"/>
    <col min="10" max="10" width="11.28125" style="364" customWidth="1"/>
    <col min="11" max="11" width="12.8515625" style="364" customWidth="1"/>
    <col min="12" max="12" width="17.8515625" style="364" customWidth="1"/>
    <col min="13" max="13" width="16.28125" style="364" customWidth="1"/>
    <col min="14" max="14" width="17.140625" style="364" customWidth="1"/>
    <col min="15" max="15" width="22.8515625" style="364" customWidth="1"/>
    <col min="16" max="16" width="21.8515625" style="364" customWidth="1"/>
    <col min="17" max="16384" width="9.140625" style="364" customWidth="1"/>
  </cols>
  <sheetData>
    <row r="1" spans="2:11" s="848" customFormat="1" ht="36.75" customHeight="1">
      <c r="B1" s="781" t="s">
        <v>688</v>
      </c>
      <c r="C1" s="782"/>
      <c r="D1" s="782"/>
      <c r="I1" s="904" t="s">
        <v>357</v>
      </c>
      <c r="J1" s="1301" t="s">
        <v>358</v>
      </c>
      <c r="K1" s="1301"/>
    </row>
    <row r="2" spans="1:11" ht="36.75" customHeight="1">
      <c r="A2" s="364"/>
      <c r="B2" s="1302" t="s">
        <v>463</v>
      </c>
      <c r="C2" s="1302"/>
      <c r="D2" s="1302"/>
      <c r="E2" s="1302"/>
      <c r="F2" s="1302"/>
      <c r="G2" s="1302"/>
      <c r="H2" s="1302"/>
      <c r="I2" s="1302"/>
      <c r="J2" s="1302"/>
      <c r="K2" s="1302"/>
    </row>
    <row r="3" spans="1:11" ht="29.25" customHeight="1">
      <c r="A3" s="1303" t="s">
        <v>717</v>
      </c>
      <c r="B3" s="1304"/>
      <c r="C3" s="1304"/>
      <c r="D3" s="1304"/>
      <c r="E3" s="1304"/>
      <c r="F3" s="1304"/>
      <c r="G3" s="1304"/>
      <c r="H3" s="1304"/>
      <c r="I3" s="1304"/>
      <c r="J3" s="1304"/>
      <c r="K3" s="1304"/>
    </row>
    <row r="4" spans="1:11" ht="32.25" customHeight="1">
      <c r="A4" s="713"/>
      <c r="B4" s="714"/>
      <c r="C4" s="715"/>
      <c r="D4" s="713"/>
      <c r="E4" s="716"/>
      <c r="F4" s="716"/>
      <c r="G4" s="716"/>
      <c r="H4" s="716"/>
      <c r="I4" s="717"/>
      <c r="J4" s="717"/>
      <c r="K4" s="395"/>
    </row>
    <row r="5" spans="1:13" s="367" customFormat="1" ht="99" customHeight="1">
      <c r="A5" s="404" t="s">
        <v>0</v>
      </c>
      <c r="B5" s="404" t="s">
        <v>287</v>
      </c>
      <c r="C5" s="404" t="s">
        <v>184</v>
      </c>
      <c r="D5" s="384" t="s">
        <v>297</v>
      </c>
      <c r="E5" s="384" t="s">
        <v>298</v>
      </c>
      <c r="F5" s="384" t="s">
        <v>299</v>
      </c>
      <c r="G5" s="384" t="s">
        <v>300</v>
      </c>
      <c r="H5" s="384" t="s">
        <v>799</v>
      </c>
      <c r="I5" s="384" t="s">
        <v>301</v>
      </c>
      <c r="J5" s="384" t="s">
        <v>302</v>
      </c>
      <c r="K5" s="384" t="s">
        <v>408</v>
      </c>
      <c r="M5" s="367" t="s">
        <v>518</v>
      </c>
    </row>
    <row r="6" spans="1:11" ht="29.25" customHeight="1">
      <c r="A6" s="387">
        <v>1</v>
      </c>
      <c r="B6" s="385" t="s">
        <v>689</v>
      </c>
      <c r="C6" s="406" t="s">
        <v>5</v>
      </c>
      <c r="D6" s="410"/>
      <c r="E6" s="694">
        <v>26.42</v>
      </c>
      <c r="F6" s="694">
        <v>25.67</v>
      </c>
      <c r="G6" s="694">
        <v>24.68</v>
      </c>
      <c r="H6" s="694">
        <v>24.26</v>
      </c>
      <c r="I6" s="694">
        <v>24.16</v>
      </c>
      <c r="J6" s="694">
        <v>25.03</v>
      </c>
      <c r="K6" s="723"/>
    </row>
    <row r="7" spans="1:11" s="363" customFormat="1" ht="29.25" customHeight="1">
      <c r="A7" s="387">
        <v>2</v>
      </c>
      <c r="B7" s="385" t="s">
        <v>690</v>
      </c>
      <c r="C7" s="406" t="s">
        <v>359</v>
      </c>
      <c r="D7" s="724"/>
      <c r="E7" s="694">
        <v>1626.99</v>
      </c>
      <c r="F7" s="694">
        <v>1684.28</v>
      </c>
      <c r="G7" s="694">
        <v>1767.52</v>
      </c>
      <c r="H7" s="694">
        <v>1856.61</v>
      </c>
      <c r="I7" s="694">
        <v>1951.48</v>
      </c>
      <c r="J7" s="694">
        <v>1951.48</v>
      </c>
      <c r="K7" s="387"/>
    </row>
    <row r="8" spans="1:12" s="363" customFormat="1" ht="29.25" customHeight="1">
      <c r="A8" s="387">
        <v>3</v>
      </c>
      <c r="B8" s="388" t="s">
        <v>691</v>
      </c>
      <c r="C8" s="384"/>
      <c r="D8" s="410"/>
      <c r="E8" s="694"/>
      <c r="F8" s="694"/>
      <c r="G8" s="694"/>
      <c r="H8" s="694"/>
      <c r="I8" s="694"/>
      <c r="J8" s="694"/>
      <c r="K8" s="387"/>
      <c r="L8" s="718"/>
    </row>
    <row r="9" spans="1:23" ht="26.25" customHeight="1">
      <c r="A9" s="389"/>
      <c r="B9" s="390" t="s">
        <v>692</v>
      </c>
      <c r="C9" s="406" t="s">
        <v>693</v>
      </c>
      <c r="D9" s="726">
        <f>0.225698+0.231553+0.235292+0.238776+0.244259</f>
        <v>1.175578</v>
      </c>
      <c r="E9" s="726">
        <f>+E10+E11</f>
        <v>0.226097</v>
      </c>
      <c r="F9" s="726">
        <f>+F10+F11</f>
        <v>0.233507</v>
      </c>
      <c r="G9" s="726">
        <f>+G10+G11</f>
        <v>0.235772</v>
      </c>
      <c r="H9" s="1102">
        <f>+H10+H11</f>
        <v>0.246658</v>
      </c>
      <c r="I9" s="1106">
        <f>I10+I11</f>
        <v>0.250375</v>
      </c>
      <c r="J9" s="726">
        <f>SUM(E9:I9)</f>
        <v>1.192409</v>
      </c>
      <c r="K9" s="725" t="s">
        <v>36</v>
      </c>
      <c r="L9" s="769"/>
      <c r="N9" s="770"/>
      <c r="O9" s="771"/>
      <c r="P9" s="772"/>
      <c r="Q9" s="370"/>
      <c r="R9" s="371"/>
      <c r="T9" s="370"/>
      <c r="U9" s="371"/>
      <c r="W9" s="370"/>
    </row>
    <row r="10" spans="1:21" ht="26.25" customHeight="1">
      <c r="A10" s="389"/>
      <c r="B10" s="390" t="s">
        <v>694</v>
      </c>
      <c r="C10" s="406" t="s">
        <v>693</v>
      </c>
      <c r="D10" s="726">
        <f>0.15594+0.159286+0.162972+0.166505+0.172905</f>
        <v>0.817608</v>
      </c>
      <c r="E10" s="726">
        <v>0.155082</v>
      </c>
      <c r="F10" s="726">
        <v>0.161883</v>
      </c>
      <c r="G10" s="726">
        <v>0.161556</v>
      </c>
      <c r="H10" s="1102">
        <v>0.170557</v>
      </c>
      <c r="I10" s="1106">
        <v>0.174177</v>
      </c>
      <c r="J10" s="726">
        <f>SUM(E10:I10)</f>
        <v>0.823255</v>
      </c>
      <c r="K10" s="1103" t="s">
        <v>36</v>
      </c>
      <c r="L10" s="719"/>
      <c r="N10" s="770"/>
      <c r="O10" s="771"/>
      <c r="P10" s="772"/>
      <c r="Q10" s="370"/>
      <c r="R10" s="371"/>
      <c r="T10" s="370"/>
      <c r="U10" s="371"/>
    </row>
    <row r="11" spans="1:23" ht="26.25" customHeight="1">
      <c r="A11" s="389"/>
      <c r="B11" s="390" t="s">
        <v>695</v>
      </c>
      <c r="C11" s="406" t="s">
        <v>693</v>
      </c>
      <c r="D11" s="726">
        <f>0.069758+0.072268+0.07232+0.07227+0.071354</f>
        <v>0.35797</v>
      </c>
      <c r="E11" s="726">
        <v>0.071015</v>
      </c>
      <c r="F11" s="726">
        <v>0.071624</v>
      </c>
      <c r="G11" s="726">
        <v>0.074216</v>
      </c>
      <c r="H11" s="1102">
        <v>0.076101</v>
      </c>
      <c r="I11" s="1106">
        <v>0.076198</v>
      </c>
      <c r="J11" s="726">
        <f>SUM(E11:I11)</f>
        <v>0.369154</v>
      </c>
      <c r="K11" s="725" t="s">
        <v>36</v>
      </c>
      <c r="L11" s="719"/>
      <c r="N11" s="770"/>
      <c r="O11" s="771"/>
      <c r="P11" s="772"/>
      <c r="Q11" s="370"/>
      <c r="R11" s="371"/>
      <c r="T11" s="370"/>
      <c r="U11" s="371"/>
      <c r="W11" s="370"/>
    </row>
    <row r="12" spans="1:21" ht="26.25" customHeight="1">
      <c r="A12" s="389"/>
      <c r="B12" s="390" t="s">
        <v>696</v>
      </c>
      <c r="C12" s="406" t="s">
        <v>693</v>
      </c>
      <c r="D12" s="726">
        <f>0.001747+0.002497+0.003002+0.003607+0.0054</f>
        <v>0.016253000000000004</v>
      </c>
      <c r="E12" s="726">
        <v>0.002673</v>
      </c>
      <c r="F12" s="726">
        <v>0.004532</v>
      </c>
      <c r="G12" s="726">
        <v>0.005408</v>
      </c>
      <c r="H12" s="1102">
        <f>3717.9/1000000</f>
        <v>0.0037179</v>
      </c>
      <c r="I12" s="1102">
        <v>0.00634</v>
      </c>
      <c r="J12" s="726">
        <f aca="true" t="shared" si="0" ref="J12:J18">SUM(E12:I12)</f>
        <v>0.0226709</v>
      </c>
      <c r="K12" s="725" t="s">
        <v>36</v>
      </c>
      <c r="L12" s="719"/>
      <c r="N12" s="770"/>
      <c r="O12" s="770"/>
      <c r="P12" s="770"/>
      <c r="Q12" s="370"/>
      <c r="R12" s="371"/>
      <c r="T12" s="370"/>
      <c r="U12" s="371"/>
    </row>
    <row r="13" spans="1:23" ht="26.25" customHeight="1">
      <c r="A13" s="389"/>
      <c r="B13" s="390" t="s">
        <v>697</v>
      </c>
      <c r="C13" s="406" t="s">
        <v>698</v>
      </c>
      <c r="D13" s="695"/>
      <c r="E13" s="695"/>
      <c r="F13" s="695"/>
      <c r="G13" s="695"/>
      <c r="H13" s="695"/>
      <c r="I13" s="695"/>
      <c r="J13" s="695"/>
      <c r="K13" s="725"/>
      <c r="L13" s="719"/>
      <c r="N13" s="370"/>
      <c r="O13" s="371"/>
      <c r="Q13" s="370"/>
      <c r="R13" s="371"/>
      <c r="T13" s="370"/>
      <c r="U13" s="371"/>
      <c r="W13" s="370"/>
    </row>
    <row r="14" spans="1:12" ht="26.25" customHeight="1">
      <c r="A14" s="389"/>
      <c r="B14" s="408" t="s">
        <v>699</v>
      </c>
      <c r="C14" s="406" t="s">
        <v>698</v>
      </c>
      <c r="D14" s="634">
        <v>12.4</v>
      </c>
      <c r="E14" s="1104">
        <f>(1886.8+1183.9+8697.5+2197.8)/1000</f>
        <v>13.966</v>
      </c>
      <c r="F14" s="1104">
        <v>14.4335</v>
      </c>
      <c r="G14" s="1104">
        <v>15.27437</v>
      </c>
      <c r="H14" s="634">
        <v>16.473</v>
      </c>
      <c r="I14" s="634">
        <v>18.381</v>
      </c>
      <c r="J14" s="634">
        <f t="shared" si="0"/>
        <v>78.52787000000001</v>
      </c>
      <c r="K14" s="725" t="s">
        <v>42</v>
      </c>
      <c r="L14" s="719"/>
    </row>
    <row r="15" spans="1:12" ht="26.25" customHeight="1" hidden="1">
      <c r="A15" s="389"/>
      <c r="B15" s="408"/>
      <c r="C15" s="406"/>
      <c r="D15" s="634"/>
      <c r="E15" s="449">
        <f>E14/D14*100-100</f>
        <v>12.629032258064512</v>
      </c>
      <c r="F15" s="449">
        <f>F14/E14*100-100</f>
        <v>3.347415151081208</v>
      </c>
      <c r="G15" s="449">
        <f>G14/F14*100-100</f>
        <v>5.8258218727266495</v>
      </c>
      <c r="H15" s="449">
        <f>H14/G14*100-100</f>
        <v>7.8473285641240835</v>
      </c>
      <c r="I15" s="449">
        <f>I14/H14*100-100</f>
        <v>11.58258969222365</v>
      </c>
      <c r="J15" s="449">
        <f>SUM(E15:I15)</f>
        <v>41.2321875382201</v>
      </c>
      <c r="K15" s="725">
        <f>J15/5</f>
        <v>8.246437507644021</v>
      </c>
      <c r="L15" s="719"/>
    </row>
    <row r="16" spans="1:12" ht="31.5" customHeight="1">
      <c r="A16" s="389"/>
      <c r="B16" s="408" t="s">
        <v>700</v>
      </c>
      <c r="C16" s="406" t="s">
        <v>701</v>
      </c>
      <c r="D16" s="696">
        <v>22.5</v>
      </c>
      <c r="E16" s="1104">
        <v>0.287</v>
      </c>
      <c r="F16" s="1104">
        <v>0.159</v>
      </c>
      <c r="G16" s="1104">
        <v>0.282</v>
      </c>
      <c r="H16" s="1104">
        <v>0.335</v>
      </c>
      <c r="I16" s="1104">
        <v>0.31953</v>
      </c>
      <c r="J16" s="1104">
        <f>SUM(E16:I16)</f>
        <v>1.38253</v>
      </c>
      <c r="K16" s="725" t="s">
        <v>42</v>
      </c>
      <c r="L16" s="719"/>
    </row>
    <row r="17" spans="1:15" ht="33.75" customHeight="1">
      <c r="A17" s="389"/>
      <c r="B17" s="408" t="s">
        <v>702</v>
      </c>
      <c r="C17" s="406" t="s">
        <v>291</v>
      </c>
      <c r="D17" s="696">
        <v>45.2</v>
      </c>
      <c r="E17" s="1073">
        <v>36.6</v>
      </c>
      <c r="F17" s="1073">
        <v>40.23</v>
      </c>
      <c r="G17" s="894">
        <v>40.94</v>
      </c>
      <c r="H17" s="1074">
        <v>41.3</v>
      </c>
      <c r="I17" s="968">
        <v>41.84</v>
      </c>
      <c r="J17" s="1105">
        <v>41.84</v>
      </c>
      <c r="K17" s="725" t="s">
        <v>42</v>
      </c>
      <c r="L17" s="719">
        <f>+I17-F17</f>
        <v>1.6100000000000065</v>
      </c>
      <c r="O17" s="720"/>
    </row>
    <row r="18" spans="1:15" ht="30" customHeight="1">
      <c r="A18" s="389"/>
      <c r="B18" s="408" t="s">
        <v>703</v>
      </c>
      <c r="C18" s="406" t="s">
        <v>698</v>
      </c>
      <c r="D18" s="634">
        <f>1.326+1.459+1.604+1.781+2.045</f>
        <v>8.215</v>
      </c>
      <c r="E18" s="634">
        <v>1.464</v>
      </c>
      <c r="F18" s="634">
        <v>1.603</v>
      </c>
      <c r="G18" s="634">
        <v>1.751</v>
      </c>
      <c r="H18" s="1104">
        <v>1.956</v>
      </c>
      <c r="I18" s="1104">
        <v>2.23646</v>
      </c>
      <c r="J18" s="634">
        <f t="shared" si="0"/>
        <v>9.010459999999998</v>
      </c>
      <c r="K18" s="725" t="s">
        <v>36</v>
      </c>
      <c r="L18" s="719"/>
      <c r="O18" s="721"/>
    </row>
    <row r="19" spans="1:12" ht="30.75" customHeight="1">
      <c r="A19" s="389"/>
      <c r="B19" s="408" t="s">
        <v>704</v>
      </c>
      <c r="C19" s="406" t="s">
        <v>701</v>
      </c>
      <c r="D19" s="410">
        <v>2.5</v>
      </c>
      <c r="E19" s="634">
        <v>1.862</v>
      </c>
      <c r="F19" s="634">
        <v>1.879</v>
      </c>
      <c r="G19" s="634">
        <v>1.927</v>
      </c>
      <c r="H19" s="1104">
        <v>1.9658</v>
      </c>
      <c r="I19" s="1104">
        <v>1.995</v>
      </c>
      <c r="J19" s="634">
        <f>I19</f>
        <v>1.995</v>
      </c>
      <c r="K19" s="725" t="s">
        <v>42</v>
      </c>
      <c r="L19" s="719"/>
    </row>
    <row r="20" spans="1:15" ht="16.5">
      <c r="A20" s="383"/>
      <c r="B20" s="393"/>
      <c r="C20" s="394"/>
      <c r="D20" s="697"/>
      <c r="E20" s="698"/>
      <c r="F20" s="698"/>
      <c r="G20" s="698"/>
      <c r="H20" s="698"/>
      <c r="I20" s="698"/>
      <c r="J20" s="698"/>
      <c r="K20" s="395"/>
      <c r="O20" s="721">
        <f>O19+O18</f>
        <v>0</v>
      </c>
    </row>
    <row r="21" spans="1:15" ht="16.5">
      <c r="A21" s="383"/>
      <c r="B21" s="1300" t="s">
        <v>404</v>
      </c>
      <c r="C21" s="1300"/>
      <c r="D21" s="1300"/>
      <c r="E21" s="698"/>
      <c r="F21" s="698"/>
      <c r="G21" s="698"/>
      <c r="H21" s="698"/>
      <c r="I21" s="698"/>
      <c r="J21" s="698"/>
      <c r="K21" s="395"/>
      <c r="O21" s="364">
        <f>O22+O23</f>
        <v>244556.71</v>
      </c>
    </row>
    <row r="22" spans="1:23" ht="16.5">
      <c r="A22" s="383"/>
      <c r="B22" s="409"/>
      <c r="C22" s="394"/>
      <c r="D22" s="697"/>
      <c r="E22" s="722"/>
      <c r="F22" s="698"/>
      <c r="G22" s="698"/>
      <c r="H22" s="698"/>
      <c r="I22" s="698"/>
      <c r="J22" s="698"/>
      <c r="K22" s="395"/>
      <c r="L22" s="371"/>
      <c r="N22" s="370"/>
      <c r="O22" s="371">
        <v>167897.24</v>
      </c>
      <c r="Q22" s="370"/>
      <c r="R22" s="371"/>
      <c r="T22" s="370"/>
      <c r="U22" s="371"/>
      <c r="W22" s="370"/>
    </row>
    <row r="23" spans="1:15" ht="16.5">
      <c r="A23" s="383"/>
      <c r="B23" s="393"/>
      <c r="C23" s="394"/>
      <c r="D23" s="383"/>
      <c r="E23" s="419"/>
      <c r="F23" s="419"/>
      <c r="G23" s="419"/>
      <c r="H23" s="419"/>
      <c r="I23" s="419"/>
      <c r="J23" s="419"/>
      <c r="K23" s="395"/>
      <c r="O23" s="364">
        <v>76659.47</v>
      </c>
    </row>
    <row r="24" spans="1:11" ht="16.5">
      <c r="A24" s="383"/>
      <c r="B24" s="393"/>
      <c r="C24" s="394"/>
      <c r="D24" s="383"/>
      <c r="E24" s="419"/>
      <c r="F24" s="419"/>
      <c r="G24" s="419"/>
      <c r="H24" s="419"/>
      <c r="I24" s="419"/>
      <c r="J24" s="419"/>
      <c r="K24" s="395"/>
    </row>
    <row r="25" spans="1:11" ht="16.5">
      <c r="A25" s="383"/>
      <c r="B25" s="393"/>
      <c r="C25" s="394"/>
      <c r="D25" s="383"/>
      <c r="E25" s="419"/>
      <c r="F25" s="419"/>
      <c r="G25" s="419"/>
      <c r="H25" s="419"/>
      <c r="I25" s="419"/>
      <c r="J25" s="419"/>
      <c r="K25" s="395"/>
    </row>
    <row r="26" spans="1:11" ht="16.5">
      <c r="A26" s="383"/>
      <c r="B26" s="393"/>
      <c r="C26" s="394"/>
      <c r="D26" s="383"/>
      <c r="E26" s="419"/>
      <c r="F26" s="419"/>
      <c r="G26" s="419"/>
      <c r="H26" s="419"/>
      <c r="I26" s="419"/>
      <c r="J26" s="419"/>
      <c r="K26" s="395"/>
    </row>
    <row r="27" spans="1:11" ht="16.5">
      <c r="A27" s="383"/>
      <c r="B27" s="393"/>
      <c r="C27" s="394"/>
      <c r="D27" s="383"/>
      <c r="E27" s="419"/>
      <c r="F27" s="419"/>
      <c r="G27" s="419"/>
      <c r="H27" s="419"/>
      <c r="I27" s="419"/>
      <c r="J27" s="419"/>
      <c r="K27" s="395"/>
    </row>
    <row r="28" spans="1:11" ht="16.5">
      <c r="A28" s="383"/>
      <c r="B28" s="393"/>
      <c r="C28" s="394"/>
      <c r="D28" s="383"/>
      <c r="E28" s="395"/>
      <c r="F28" s="395"/>
      <c r="G28" s="395"/>
      <c r="H28" s="395"/>
      <c r="I28" s="395"/>
      <c r="J28" s="395"/>
      <c r="K28" s="395"/>
    </row>
    <row r="29" spans="1:11" ht="16.5">
      <c r="A29" s="383"/>
      <c r="B29" s="393"/>
      <c r="C29" s="394"/>
      <c r="D29" s="383"/>
      <c r="E29" s="395"/>
      <c r="F29" s="395"/>
      <c r="G29" s="395"/>
      <c r="H29" s="395"/>
      <c r="I29" s="395"/>
      <c r="J29" s="395"/>
      <c r="K29" s="395"/>
    </row>
    <row r="30" spans="1:11" ht="16.5">
      <c r="A30" s="383"/>
      <c r="B30" s="393"/>
      <c r="C30" s="394"/>
      <c r="D30" s="383"/>
      <c r="E30" s="395"/>
      <c r="F30" s="395"/>
      <c r="G30" s="395"/>
      <c r="H30" s="395"/>
      <c r="I30" s="395"/>
      <c r="J30" s="395"/>
      <c r="K30" s="395"/>
    </row>
    <row r="31" spans="1:11" ht="16.5">
      <c r="A31" s="383"/>
      <c r="B31" s="393"/>
      <c r="C31" s="394"/>
      <c r="D31" s="383"/>
      <c r="E31" s="395"/>
      <c r="F31" s="395"/>
      <c r="G31" s="395"/>
      <c r="H31" s="395"/>
      <c r="I31" s="395"/>
      <c r="J31" s="395"/>
      <c r="K31" s="395"/>
    </row>
    <row r="32" spans="1:11" ht="16.5">
      <c r="A32" s="383"/>
      <c r="B32" s="393"/>
      <c r="C32" s="394"/>
      <c r="D32" s="383"/>
      <c r="E32" s="395"/>
      <c r="F32" s="395"/>
      <c r="G32" s="395"/>
      <c r="H32" s="395"/>
      <c r="I32" s="395"/>
      <c r="J32" s="395"/>
      <c r="K32" s="395"/>
    </row>
    <row r="33" spans="1:11" ht="16.5">
      <c r="A33" s="383"/>
      <c r="B33" s="393"/>
      <c r="C33" s="394"/>
      <c r="D33" s="383"/>
      <c r="E33" s="395"/>
      <c r="F33" s="395"/>
      <c r="G33" s="395"/>
      <c r="H33" s="395"/>
      <c r="I33" s="395"/>
      <c r="J33" s="395"/>
      <c r="K33" s="395"/>
    </row>
    <row r="34" spans="1:11" ht="16.5">
      <c r="A34" s="383"/>
      <c r="B34" s="393"/>
      <c r="C34" s="394"/>
      <c r="D34" s="383"/>
      <c r="E34" s="395"/>
      <c r="F34" s="395"/>
      <c r="G34" s="395"/>
      <c r="H34" s="395"/>
      <c r="I34" s="395"/>
      <c r="J34" s="395"/>
      <c r="K34" s="395"/>
    </row>
    <row r="35" spans="1:11" ht="16.5">
      <c r="A35" s="383"/>
      <c r="B35" s="393"/>
      <c r="C35" s="394"/>
      <c r="D35" s="383"/>
      <c r="E35" s="395"/>
      <c r="F35" s="395"/>
      <c r="G35" s="395"/>
      <c r="H35" s="395"/>
      <c r="I35" s="395"/>
      <c r="J35" s="395"/>
      <c r="K35" s="395"/>
    </row>
    <row r="36" spans="1:11" ht="16.5">
      <c r="A36" s="383"/>
      <c r="B36" s="393"/>
      <c r="C36" s="394"/>
      <c r="D36" s="383"/>
      <c r="E36" s="395"/>
      <c r="F36" s="395"/>
      <c r="G36" s="395"/>
      <c r="H36" s="395"/>
      <c r="I36" s="395"/>
      <c r="J36" s="395"/>
      <c r="K36" s="395"/>
    </row>
    <row r="37" spans="1:11" ht="16.5">
      <c r="A37" s="383"/>
      <c r="B37" s="393"/>
      <c r="C37" s="394"/>
      <c r="D37" s="383"/>
      <c r="E37" s="395"/>
      <c r="F37" s="395"/>
      <c r="G37" s="395"/>
      <c r="H37" s="395"/>
      <c r="I37" s="395"/>
      <c r="J37" s="395"/>
      <c r="K37" s="395"/>
    </row>
    <row r="38" spans="1:11" ht="16.5">
      <c r="A38" s="383"/>
      <c r="B38" s="393"/>
      <c r="C38" s="394"/>
      <c r="D38" s="383"/>
      <c r="E38" s="395"/>
      <c r="F38" s="395"/>
      <c r="G38" s="395"/>
      <c r="H38" s="395"/>
      <c r="I38" s="395"/>
      <c r="J38" s="395"/>
      <c r="K38" s="395"/>
    </row>
    <row r="39" spans="1:11" ht="16.5">
      <c r="A39" s="383"/>
      <c r="B39" s="393"/>
      <c r="C39" s="394"/>
      <c r="D39" s="383"/>
      <c r="E39" s="395"/>
      <c r="F39" s="395"/>
      <c r="G39" s="395"/>
      <c r="H39" s="395"/>
      <c r="I39" s="395"/>
      <c r="J39" s="395"/>
      <c r="K39" s="395"/>
    </row>
    <row r="40" spans="1:11" ht="16.5">
      <c r="A40" s="383"/>
      <c r="B40" s="393"/>
      <c r="C40" s="394"/>
      <c r="D40" s="383"/>
      <c r="E40" s="395"/>
      <c r="F40" s="395"/>
      <c r="G40" s="395"/>
      <c r="H40" s="395"/>
      <c r="I40" s="395"/>
      <c r="J40" s="395"/>
      <c r="K40" s="395"/>
    </row>
    <row r="41" spans="1:11" ht="16.5">
      <c r="A41" s="383"/>
      <c r="B41" s="393"/>
      <c r="C41" s="394"/>
      <c r="D41" s="383"/>
      <c r="E41" s="395"/>
      <c r="F41" s="395"/>
      <c r="G41" s="395"/>
      <c r="H41" s="395"/>
      <c r="I41" s="395"/>
      <c r="J41" s="395"/>
      <c r="K41" s="395"/>
    </row>
    <row r="42" spans="1:11" ht="16.5">
      <c r="A42" s="383"/>
      <c r="B42" s="393"/>
      <c r="C42" s="394"/>
      <c r="D42" s="383"/>
      <c r="E42" s="395"/>
      <c r="F42" s="395"/>
      <c r="G42" s="395"/>
      <c r="H42" s="395"/>
      <c r="I42" s="395"/>
      <c r="J42" s="395"/>
      <c r="K42" s="395"/>
    </row>
    <row r="43" spans="1:11" ht="16.5">
      <c r="A43" s="383"/>
      <c r="B43" s="393"/>
      <c r="C43" s="394"/>
      <c r="D43" s="383"/>
      <c r="E43" s="395"/>
      <c r="F43" s="395"/>
      <c r="G43" s="395"/>
      <c r="H43" s="395"/>
      <c r="I43" s="395"/>
      <c r="J43" s="395"/>
      <c r="K43" s="395"/>
    </row>
    <row r="44" spans="1:11" ht="16.5">
      <c r="A44" s="383"/>
      <c r="B44" s="393"/>
      <c r="C44" s="394"/>
      <c r="D44" s="383"/>
      <c r="E44" s="395"/>
      <c r="F44" s="395"/>
      <c r="G44" s="395"/>
      <c r="H44" s="395"/>
      <c r="I44" s="395"/>
      <c r="J44" s="395"/>
      <c r="K44" s="395"/>
    </row>
    <row r="45" spans="1:11" ht="16.5">
      <c r="A45" s="383"/>
      <c r="B45" s="393"/>
      <c r="C45" s="394"/>
      <c r="D45" s="383"/>
      <c r="E45" s="395"/>
      <c r="F45" s="395"/>
      <c r="G45" s="395"/>
      <c r="H45" s="395"/>
      <c r="I45" s="395"/>
      <c r="J45" s="395"/>
      <c r="K45" s="395"/>
    </row>
    <row r="46" spans="1:11" ht="16.5">
      <c r="A46" s="383"/>
      <c r="B46" s="393"/>
      <c r="C46" s="394"/>
      <c r="D46" s="383"/>
      <c r="E46" s="395"/>
      <c r="F46" s="395"/>
      <c r="G46" s="395"/>
      <c r="H46" s="395"/>
      <c r="I46" s="395"/>
      <c r="J46" s="395"/>
      <c r="K46" s="395"/>
    </row>
    <row r="47" spans="1:11" ht="16.5">
      <c r="A47" s="383"/>
      <c r="B47" s="393"/>
      <c r="C47" s="394"/>
      <c r="D47" s="383"/>
      <c r="E47" s="395"/>
      <c r="F47" s="395"/>
      <c r="G47" s="395"/>
      <c r="H47" s="395"/>
      <c r="I47" s="395"/>
      <c r="J47" s="395"/>
      <c r="K47" s="395"/>
    </row>
    <row r="48" spans="1:11" ht="16.5">
      <c r="A48" s="383"/>
      <c r="B48" s="393"/>
      <c r="C48" s="394"/>
      <c r="D48" s="383"/>
      <c r="E48" s="395"/>
      <c r="F48" s="395"/>
      <c r="G48" s="395"/>
      <c r="H48" s="395"/>
      <c r="I48" s="395"/>
      <c r="J48" s="395"/>
      <c r="K48" s="395"/>
    </row>
    <row r="49" spans="1:11" ht="16.5">
      <c r="A49" s="383"/>
      <c r="B49" s="393"/>
      <c r="C49" s="394"/>
      <c r="D49" s="383"/>
      <c r="E49" s="395"/>
      <c r="F49" s="395"/>
      <c r="G49" s="395"/>
      <c r="H49" s="395"/>
      <c r="I49" s="395"/>
      <c r="J49" s="395"/>
      <c r="K49" s="395"/>
    </row>
    <row r="50" spans="1:11" ht="16.5">
      <c r="A50" s="383"/>
      <c r="B50" s="393"/>
      <c r="C50" s="394"/>
      <c r="D50" s="383"/>
      <c r="E50" s="395"/>
      <c r="F50" s="395"/>
      <c r="G50" s="395"/>
      <c r="H50" s="395"/>
      <c r="I50" s="395"/>
      <c r="J50" s="395"/>
      <c r="K50" s="395"/>
    </row>
    <row r="51" spans="1:11" ht="16.5">
      <c r="A51" s="383"/>
      <c r="B51" s="393"/>
      <c r="C51" s="394"/>
      <c r="D51" s="383"/>
      <c r="E51" s="395"/>
      <c r="F51" s="395"/>
      <c r="G51" s="395"/>
      <c r="H51" s="395"/>
      <c r="I51" s="395"/>
      <c r="J51" s="395"/>
      <c r="K51" s="395"/>
    </row>
    <row r="52" spans="1:11" ht="16.5">
      <c r="A52" s="383"/>
      <c r="B52" s="393"/>
      <c r="C52" s="394"/>
      <c r="D52" s="383"/>
      <c r="E52" s="395"/>
      <c r="F52" s="395"/>
      <c r="G52" s="395"/>
      <c r="H52" s="395"/>
      <c r="I52" s="395"/>
      <c r="J52" s="395"/>
      <c r="K52" s="395"/>
    </row>
    <row r="53" spans="1:11" ht="16.5">
      <c r="A53" s="383"/>
      <c r="B53" s="393"/>
      <c r="C53" s="394"/>
      <c r="D53" s="383"/>
      <c r="E53" s="395"/>
      <c r="F53" s="395"/>
      <c r="G53" s="395"/>
      <c r="H53" s="395"/>
      <c r="I53" s="395"/>
      <c r="J53" s="395"/>
      <c r="K53" s="395"/>
    </row>
    <row r="54" spans="1:11" ht="16.5">
      <c r="A54" s="383"/>
      <c r="B54" s="393"/>
      <c r="C54" s="394"/>
      <c r="D54" s="383"/>
      <c r="E54" s="395"/>
      <c r="F54" s="395"/>
      <c r="G54" s="395"/>
      <c r="H54" s="395"/>
      <c r="I54" s="395"/>
      <c r="J54" s="395"/>
      <c r="K54" s="395"/>
    </row>
    <row r="55" spans="1:11" ht="16.5">
      <c r="A55" s="383"/>
      <c r="B55" s="393"/>
      <c r="C55" s="394"/>
      <c r="D55" s="383"/>
      <c r="E55" s="395"/>
      <c r="F55" s="395"/>
      <c r="G55" s="395"/>
      <c r="H55" s="395"/>
      <c r="I55" s="395"/>
      <c r="J55" s="395"/>
      <c r="K55" s="395"/>
    </row>
    <row r="56" spans="1:11" ht="16.5">
      <c r="A56" s="383"/>
      <c r="B56" s="393"/>
      <c r="C56" s="394"/>
      <c r="D56" s="383"/>
      <c r="E56" s="395"/>
      <c r="F56" s="395"/>
      <c r="G56" s="395"/>
      <c r="H56" s="395"/>
      <c r="I56" s="395"/>
      <c r="J56" s="395"/>
      <c r="K56" s="395"/>
    </row>
    <row r="57" spans="1:11" ht="16.5">
      <c r="A57" s="383"/>
      <c r="B57" s="393"/>
      <c r="C57" s="394"/>
      <c r="D57" s="383"/>
      <c r="E57" s="395"/>
      <c r="F57" s="395"/>
      <c r="G57" s="395"/>
      <c r="H57" s="395"/>
      <c r="I57" s="395"/>
      <c r="J57" s="395"/>
      <c r="K57" s="395"/>
    </row>
    <row r="58" spans="1:11" ht="16.5">
      <c r="A58" s="383"/>
      <c r="B58" s="393"/>
      <c r="C58" s="394"/>
      <c r="D58" s="383"/>
      <c r="E58" s="395"/>
      <c r="F58" s="395"/>
      <c r="G58" s="395"/>
      <c r="H58" s="395"/>
      <c r="I58" s="395"/>
      <c r="J58" s="395"/>
      <c r="K58" s="395"/>
    </row>
    <row r="59" spans="1:11" ht="16.5">
      <c r="A59" s="383"/>
      <c r="B59" s="393"/>
      <c r="C59" s="394"/>
      <c r="D59" s="383"/>
      <c r="E59" s="395"/>
      <c r="F59" s="395"/>
      <c r="G59" s="395"/>
      <c r="H59" s="395"/>
      <c r="I59" s="395"/>
      <c r="J59" s="395"/>
      <c r="K59" s="395"/>
    </row>
    <row r="60" spans="1:11" ht="16.5">
      <c r="A60" s="383"/>
      <c r="B60" s="393"/>
      <c r="C60" s="394"/>
      <c r="D60" s="383"/>
      <c r="E60" s="395"/>
      <c r="F60" s="395"/>
      <c r="G60" s="395"/>
      <c r="H60" s="395"/>
      <c r="I60" s="395"/>
      <c r="J60" s="395"/>
      <c r="K60" s="395"/>
    </row>
    <row r="61" spans="1:11" ht="16.5">
      <c r="A61" s="383"/>
      <c r="B61" s="393"/>
      <c r="C61" s="394"/>
      <c r="D61" s="383"/>
      <c r="E61" s="395"/>
      <c r="F61" s="395"/>
      <c r="G61" s="395"/>
      <c r="H61" s="395"/>
      <c r="I61" s="395"/>
      <c r="J61" s="395"/>
      <c r="K61" s="395"/>
    </row>
    <row r="62" spans="1:11" ht="16.5">
      <c r="A62" s="383"/>
      <c r="B62" s="393"/>
      <c r="C62" s="394"/>
      <c r="D62" s="383"/>
      <c r="E62" s="395"/>
      <c r="F62" s="395"/>
      <c r="G62" s="395"/>
      <c r="H62" s="395"/>
      <c r="I62" s="395"/>
      <c r="J62" s="395"/>
      <c r="K62" s="395"/>
    </row>
    <row r="63" spans="1:11" ht="16.5">
      <c r="A63" s="383"/>
      <c r="B63" s="393"/>
      <c r="C63" s="394"/>
      <c r="D63" s="383"/>
      <c r="E63" s="395"/>
      <c r="F63" s="395"/>
      <c r="G63" s="395"/>
      <c r="H63" s="395"/>
      <c r="I63" s="395"/>
      <c r="J63" s="395"/>
      <c r="K63" s="395"/>
    </row>
    <row r="64" spans="1:11" ht="16.5">
      <c r="A64" s="383"/>
      <c r="B64" s="393"/>
      <c r="C64" s="394"/>
      <c r="D64" s="383"/>
      <c r="E64" s="395"/>
      <c r="F64" s="395"/>
      <c r="G64" s="395"/>
      <c r="H64" s="395"/>
      <c r="I64" s="395"/>
      <c r="J64" s="395"/>
      <c r="K64" s="395"/>
    </row>
    <row r="65" spans="1:11" ht="16.5">
      <c r="A65" s="383"/>
      <c r="B65" s="393"/>
      <c r="C65" s="394"/>
      <c r="D65" s="383"/>
      <c r="E65" s="395"/>
      <c r="F65" s="395"/>
      <c r="G65" s="395"/>
      <c r="H65" s="395"/>
      <c r="I65" s="395"/>
      <c r="J65" s="395"/>
      <c r="K65" s="395"/>
    </row>
    <row r="66" spans="1:11" ht="16.5">
      <c r="A66" s="383"/>
      <c r="B66" s="393"/>
      <c r="C66" s="394"/>
      <c r="D66" s="383"/>
      <c r="E66" s="395"/>
      <c r="F66" s="395"/>
      <c r="G66" s="395"/>
      <c r="H66" s="395"/>
      <c r="I66" s="395"/>
      <c r="J66" s="395"/>
      <c r="K66" s="395"/>
    </row>
    <row r="67" spans="1:11" ht="16.5">
      <c r="A67" s="383"/>
      <c r="B67" s="393"/>
      <c r="C67" s="394"/>
      <c r="D67" s="383"/>
      <c r="E67" s="395"/>
      <c r="F67" s="395"/>
      <c r="G67" s="395"/>
      <c r="H67" s="395"/>
      <c r="I67" s="395"/>
      <c r="J67" s="395"/>
      <c r="K67" s="395"/>
    </row>
    <row r="68" spans="1:11" ht="16.5">
      <c r="A68" s="383"/>
      <c r="B68" s="393"/>
      <c r="C68" s="394"/>
      <c r="D68" s="383"/>
      <c r="E68" s="395"/>
      <c r="F68" s="395"/>
      <c r="G68" s="395"/>
      <c r="H68" s="395"/>
      <c r="I68" s="395"/>
      <c r="J68" s="395"/>
      <c r="K68" s="395"/>
    </row>
    <row r="69" spans="1:11" ht="16.5">
      <c r="A69" s="383"/>
      <c r="B69" s="393"/>
      <c r="C69" s="394"/>
      <c r="D69" s="383"/>
      <c r="E69" s="395"/>
      <c r="F69" s="395"/>
      <c r="G69" s="395"/>
      <c r="H69" s="395"/>
      <c r="I69" s="395"/>
      <c r="J69" s="395"/>
      <c r="K69" s="395"/>
    </row>
    <row r="70" spans="1:11" ht="16.5">
      <c r="A70" s="383"/>
      <c r="B70" s="393"/>
      <c r="C70" s="394"/>
      <c r="D70" s="383"/>
      <c r="E70" s="395"/>
      <c r="F70" s="395"/>
      <c r="G70" s="395"/>
      <c r="H70" s="395"/>
      <c r="I70" s="395"/>
      <c r="J70" s="395"/>
      <c r="K70" s="395"/>
    </row>
    <row r="71" spans="1:11" ht="16.5">
      <c r="A71" s="383"/>
      <c r="B71" s="393"/>
      <c r="C71" s="394"/>
      <c r="D71" s="383"/>
      <c r="E71" s="395"/>
      <c r="F71" s="395"/>
      <c r="G71" s="395"/>
      <c r="H71" s="395"/>
      <c r="I71" s="395"/>
      <c r="J71" s="395"/>
      <c r="K71" s="395"/>
    </row>
    <row r="72" spans="1:11" ht="16.5">
      <c r="A72" s="383"/>
      <c r="B72" s="393"/>
      <c r="C72" s="394"/>
      <c r="D72" s="383"/>
      <c r="E72" s="395"/>
      <c r="F72" s="395"/>
      <c r="G72" s="395"/>
      <c r="H72" s="395"/>
      <c r="I72" s="395"/>
      <c r="J72" s="395"/>
      <c r="K72" s="395"/>
    </row>
    <row r="73" spans="1:11" ht="16.5">
      <c r="A73" s="383"/>
      <c r="B73" s="393"/>
      <c r="C73" s="394"/>
      <c r="D73" s="383"/>
      <c r="E73" s="395"/>
      <c r="F73" s="395"/>
      <c r="G73" s="395"/>
      <c r="H73" s="395"/>
      <c r="I73" s="395"/>
      <c r="J73" s="395"/>
      <c r="K73" s="395"/>
    </row>
    <row r="74" spans="1:11" ht="16.5">
      <c r="A74" s="383"/>
      <c r="B74" s="393"/>
      <c r="C74" s="394"/>
      <c r="D74" s="383"/>
      <c r="E74" s="395"/>
      <c r="F74" s="395"/>
      <c r="G74" s="395"/>
      <c r="H74" s="395"/>
      <c r="I74" s="395"/>
      <c r="J74" s="395"/>
      <c r="K74" s="395"/>
    </row>
    <row r="75" spans="1:11" ht="16.5">
      <c r="A75" s="383"/>
      <c r="B75" s="393"/>
      <c r="C75" s="394"/>
      <c r="D75" s="383"/>
      <c r="E75" s="395"/>
      <c r="F75" s="395"/>
      <c r="G75" s="395"/>
      <c r="H75" s="395"/>
      <c r="I75" s="395"/>
      <c r="J75" s="395"/>
      <c r="K75" s="395"/>
    </row>
    <row r="76" spans="1:11" ht="16.5">
      <c r="A76" s="383"/>
      <c r="B76" s="393"/>
      <c r="C76" s="394"/>
      <c r="D76" s="383"/>
      <c r="E76" s="395"/>
      <c r="F76" s="395"/>
      <c r="G76" s="395"/>
      <c r="H76" s="395"/>
      <c r="I76" s="395"/>
      <c r="J76" s="395"/>
      <c r="K76" s="395"/>
    </row>
    <row r="77" spans="1:11" ht="16.5">
      <c r="A77" s="383"/>
      <c r="B77" s="393"/>
      <c r="C77" s="394"/>
      <c r="D77" s="383"/>
      <c r="E77" s="395"/>
      <c r="F77" s="395"/>
      <c r="G77" s="395"/>
      <c r="H77" s="395"/>
      <c r="I77" s="395"/>
      <c r="J77" s="395"/>
      <c r="K77" s="395"/>
    </row>
    <row r="78" spans="1:11" ht="16.5">
      <c r="A78" s="383"/>
      <c r="B78" s="393"/>
      <c r="C78" s="394"/>
      <c r="D78" s="383"/>
      <c r="E78" s="395"/>
      <c r="F78" s="395"/>
      <c r="G78" s="395"/>
      <c r="H78" s="395"/>
      <c r="I78" s="395"/>
      <c r="J78" s="395"/>
      <c r="K78" s="395"/>
    </row>
    <row r="79" spans="1:11" ht="16.5">
      <c r="A79" s="383"/>
      <c r="B79" s="393"/>
      <c r="C79" s="394"/>
      <c r="D79" s="383"/>
      <c r="E79" s="395"/>
      <c r="F79" s="395"/>
      <c r="G79" s="395"/>
      <c r="H79" s="395"/>
      <c r="I79" s="395"/>
      <c r="J79" s="395"/>
      <c r="K79" s="395"/>
    </row>
    <row r="80" spans="1:11" ht="16.5">
      <c r="A80" s="383"/>
      <c r="B80" s="393"/>
      <c r="C80" s="394"/>
      <c r="D80" s="383"/>
      <c r="E80" s="395"/>
      <c r="F80" s="395"/>
      <c r="G80" s="395"/>
      <c r="H80" s="395"/>
      <c r="I80" s="395"/>
      <c r="J80" s="395"/>
      <c r="K80" s="395"/>
    </row>
    <row r="81" spans="1:11" ht="16.5">
      <c r="A81" s="383"/>
      <c r="B81" s="393"/>
      <c r="C81" s="394"/>
      <c r="D81" s="383"/>
      <c r="E81" s="395"/>
      <c r="F81" s="395"/>
      <c r="G81" s="395"/>
      <c r="H81" s="395"/>
      <c r="I81" s="395"/>
      <c r="J81" s="395"/>
      <c r="K81" s="395"/>
    </row>
    <row r="82" spans="1:11" ht="16.5">
      <c r="A82" s="383"/>
      <c r="B82" s="393"/>
      <c r="C82" s="394"/>
      <c r="D82" s="383"/>
      <c r="E82" s="395"/>
      <c r="F82" s="395"/>
      <c r="G82" s="395"/>
      <c r="H82" s="395"/>
      <c r="I82" s="395"/>
      <c r="J82" s="395"/>
      <c r="K82" s="395"/>
    </row>
    <row r="83" spans="1:11" ht="16.5">
      <c r="A83" s="383"/>
      <c r="B83" s="393"/>
      <c r="C83" s="394"/>
      <c r="D83" s="383"/>
      <c r="E83" s="395"/>
      <c r="F83" s="395"/>
      <c r="G83" s="395"/>
      <c r="H83" s="395"/>
      <c r="I83" s="395"/>
      <c r="J83" s="395"/>
      <c r="K83" s="395"/>
    </row>
    <row r="84" spans="1:11" ht="16.5">
      <c r="A84" s="383"/>
      <c r="B84" s="393"/>
      <c r="C84" s="394"/>
      <c r="D84" s="383"/>
      <c r="E84" s="395"/>
      <c r="F84" s="395"/>
      <c r="G84" s="395"/>
      <c r="H84" s="395"/>
      <c r="I84" s="395"/>
      <c r="J84" s="395"/>
      <c r="K84" s="395"/>
    </row>
    <row r="85" spans="1:11" ht="16.5">
      <c r="A85" s="383"/>
      <c r="B85" s="393"/>
      <c r="C85" s="394"/>
      <c r="D85" s="383"/>
      <c r="E85" s="395"/>
      <c r="F85" s="395"/>
      <c r="G85" s="395"/>
      <c r="H85" s="395"/>
      <c r="I85" s="395"/>
      <c r="J85" s="395"/>
      <c r="K85" s="395"/>
    </row>
    <row r="86" spans="1:11" ht="16.5">
      <c r="A86" s="383"/>
      <c r="B86" s="393"/>
      <c r="C86" s="394"/>
      <c r="D86" s="383"/>
      <c r="E86" s="395"/>
      <c r="F86" s="395"/>
      <c r="G86" s="395"/>
      <c r="H86" s="395"/>
      <c r="I86" s="395"/>
      <c r="J86" s="395"/>
      <c r="K86" s="395"/>
    </row>
    <row r="87" spans="1:11" ht="16.5">
      <c r="A87" s="383"/>
      <c r="B87" s="393"/>
      <c r="C87" s="394"/>
      <c r="D87" s="383"/>
      <c r="E87" s="395"/>
      <c r="F87" s="395"/>
      <c r="G87" s="395"/>
      <c r="H87" s="395"/>
      <c r="I87" s="395"/>
      <c r="J87" s="395"/>
      <c r="K87" s="395"/>
    </row>
    <row r="88" spans="1:11" ht="16.5">
      <c r="A88" s="383"/>
      <c r="B88" s="393"/>
      <c r="C88" s="394"/>
      <c r="D88" s="383"/>
      <c r="E88" s="395"/>
      <c r="F88" s="395"/>
      <c r="G88" s="395"/>
      <c r="H88" s="395"/>
      <c r="I88" s="395"/>
      <c r="J88" s="395"/>
      <c r="K88" s="395"/>
    </row>
    <row r="89" spans="1:11" ht="16.5">
      <c r="A89" s="383"/>
      <c r="B89" s="393"/>
      <c r="C89" s="394"/>
      <c r="D89" s="383"/>
      <c r="E89" s="395"/>
      <c r="F89" s="395"/>
      <c r="G89" s="395"/>
      <c r="H89" s="395"/>
      <c r="I89" s="395"/>
      <c r="J89" s="395"/>
      <c r="K89" s="395"/>
    </row>
    <row r="90" spans="1:11" ht="16.5">
      <c r="A90" s="383"/>
      <c r="B90" s="393"/>
      <c r="C90" s="394"/>
      <c r="D90" s="383"/>
      <c r="E90" s="395"/>
      <c r="F90" s="395"/>
      <c r="G90" s="395"/>
      <c r="H90" s="395"/>
      <c r="I90" s="395"/>
      <c r="J90" s="395"/>
      <c r="K90" s="395"/>
    </row>
    <row r="91" spans="1:11" ht="16.5">
      <c r="A91" s="383"/>
      <c r="B91" s="393"/>
      <c r="C91" s="394"/>
      <c r="D91" s="383"/>
      <c r="E91" s="395"/>
      <c r="F91" s="395"/>
      <c r="G91" s="395"/>
      <c r="H91" s="395"/>
      <c r="I91" s="395"/>
      <c r="J91" s="395"/>
      <c r="K91" s="395"/>
    </row>
    <row r="92" spans="1:11" ht="16.5">
      <c r="A92" s="383"/>
      <c r="B92" s="393"/>
      <c r="C92" s="394"/>
      <c r="D92" s="383"/>
      <c r="E92" s="395"/>
      <c r="F92" s="395"/>
      <c r="G92" s="395"/>
      <c r="H92" s="395"/>
      <c r="I92" s="395"/>
      <c r="J92" s="395"/>
      <c r="K92" s="395"/>
    </row>
    <row r="93" spans="1:11" ht="16.5">
      <c r="A93" s="383"/>
      <c r="B93" s="393"/>
      <c r="C93" s="394"/>
      <c r="D93" s="383"/>
      <c r="E93" s="395"/>
      <c r="F93" s="395"/>
      <c r="G93" s="395"/>
      <c r="H93" s="395"/>
      <c r="I93" s="395"/>
      <c r="J93" s="395"/>
      <c r="K93" s="395"/>
    </row>
    <row r="94" spans="1:11" ht="16.5">
      <c r="A94" s="383"/>
      <c r="B94" s="393"/>
      <c r="C94" s="394"/>
      <c r="D94" s="383"/>
      <c r="E94" s="395"/>
      <c r="F94" s="395"/>
      <c r="G94" s="395"/>
      <c r="H94" s="395"/>
      <c r="I94" s="395"/>
      <c r="J94" s="395"/>
      <c r="K94" s="395"/>
    </row>
    <row r="95" spans="1:11" ht="16.5">
      <c r="A95" s="383"/>
      <c r="B95" s="393"/>
      <c r="C95" s="394"/>
      <c r="D95" s="383"/>
      <c r="E95" s="395"/>
      <c r="F95" s="395"/>
      <c r="G95" s="395"/>
      <c r="H95" s="395"/>
      <c r="I95" s="395"/>
      <c r="J95" s="395"/>
      <c r="K95" s="395"/>
    </row>
    <row r="96" spans="1:11" ht="16.5">
      <c r="A96" s="383"/>
      <c r="B96" s="393"/>
      <c r="C96" s="394"/>
      <c r="D96" s="383"/>
      <c r="E96" s="395"/>
      <c r="F96" s="395"/>
      <c r="G96" s="395"/>
      <c r="H96" s="395"/>
      <c r="I96" s="395"/>
      <c r="J96" s="395"/>
      <c r="K96" s="395"/>
    </row>
    <row r="97" spans="1:11" ht="16.5">
      <c r="A97" s="383"/>
      <c r="B97" s="393"/>
      <c r="C97" s="394"/>
      <c r="D97" s="383"/>
      <c r="E97" s="395"/>
      <c r="F97" s="395"/>
      <c r="G97" s="395"/>
      <c r="H97" s="395"/>
      <c r="I97" s="395"/>
      <c r="J97" s="395"/>
      <c r="K97" s="395"/>
    </row>
    <row r="98" spans="1:11" ht="16.5">
      <c r="A98" s="383"/>
      <c r="B98" s="393"/>
      <c r="C98" s="394"/>
      <c r="D98" s="383"/>
      <c r="E98" s="395"/>
      <c r="F98" s="395"/>
      <c r="G98" s="395"/>
      <c r="H98" s="395"/>
      <c r="I98" s="395"/>
      <c r="J98" s="395"/>
      <c r="K98" s="395"/>
    </row>
    <row r="99" spans="1:11" ht="16.5">
      <c r="A99" s="383"/>
      <c r="B99" s="393"/>
      <c r="C99" s="394"/>
      <c r="D99" s="383"/>
      <c r="E99" s="395"/>
      <c r="F99" s="395"/>
      <c r="G99" s="395"/>
      <c r="H99" s="395"/>
      <c r="I99" s="395"/>
      <c r="J99" s="395"/>
      <c r="K99" s="395"/>
    </row>
    <row r="100" spans="1:11" ht="16.5">
      <c r="A100" s="383"/>
      <c r="B100" s="393"/>
      <c r="C100" s="394"/>
      <c r="D100" s="383"/>
      <c r="E100" s="395"/>
      <c r="F100" s="395"/>
      <c r="G100" s="395"/>
      <c r="H100" s="395"/>
      <c r="I100" s="395"/>
      <c r="J100" s="395"/>
      <c r="K100" s="395"/>
    </row>
    <row r="101" spans="1:11" ht="16.5">
      <c r="A101" s="383"/>
      <c r="B101" s="393"/>
      <c r="C101" s="394"/>
      <c r="D101" s="383"/>
      <c r="E101" s="395"/>
      <c r="F101" s="395"/>
      <c r="G101" s="395"/>
      <c r="H101" s="395"/>
      <c r="I101" s="395"/>
      <c r="J101" s="395"/>
      <c r="K101" s="395"/>
    </row>
    <row r="102" spans="1:11" ht="16.5">
      <c r="A102" s="383"/>
      <c r="B102" s="393"/>
      <c r="C102" s="394"/>
      <c r="D102" s="383"/>
      <c r="E102" s="395"/>
      <c r="F102" s="395"/>
      <c r="G102" s="395"/>
      <c r="H102" s="395"/>
      <c r="I102" s="395"/>
      <c r="J102" s="395"/>
      <c r="K102" s="395"/>
    </row>
    <row r="103" spans="1:11" ht="16.5">
      <c r="A103" s="383"/>
      <c r="B103" s="393"/>
      <c r="C103" s="394"/>
      <c r="D103" s="383"/>
      <c r="E103" s="395"/>
      <c r="F103" s="395"/>
      <c r="G103" s="395"/>
      <c r="H103" s="395"/>
      <c r="I103" s="395"/>
      <c r="J103" s="395"/>
      <c r="K103" s="395"/>
    </row>
    <row r="104" spans="1:11" ht="16.5">
      <c r="A104" s="383"/>
      <c r="B104" s="393"/>
      <c r="C104" s="394"/>
      <c r="D104" s="383"/>
      <c r="E104" s="395"/>
      <c r="F104" s="395"/>
      <c r="G104" s="395"/>
      <c r="H104" s="395"/>
      <c r="I104" s="395"/>
      <c r="J104" s="395"/>
      <c r="K104" s="395"/>
    </row>
    <row r="105" spans="1:11" ht="16.5">
      <c r="A105" s="383"/>
      <c r="B105" s="393"/>
      <c r="C105" s="394"/>
      <c r="D105" s="383"/>
      <c r="E105" s="395"/>
      <c r="F105" s="395"/>
      <c r="G105" s="395"/>
      <c r="H105" s="395"/>
      <c r="I105" s="395"/>
      <c r="J105" s="395"/>
      <c r="K105" s="395"/>
    </row>
    <row r="106" spans="1:11" ht="16.5">
      <c r="A106" s="383"/>
      <c r="B106" s="393"/>
      <c r="C106" s="394"/>
      <c r="D106" s="383"/>
      <c r="E106" s="395"/>
      <c r="F106" s="395"/>
      <c r="G106" s="395"/>
      <c r="H106" s="395"/>
      <c r="I106" s="395"/>
      <c r="J106" s="395"/>
      <c r="K106" s="395"/>
    </row>
    <row r="107" spans="1:11" ht="16.5">
      <c r="A107" s="383"/>
      <c r="B107" s="393"/>
      <c r="C107" s="394"/>
      <c r="D107" s="383"/>
      <c r="E107" s="395"/>
      <c r="F107" s="395"/>
      <c r="G107" s="395"/>
      <c r="H107" s="395"/>
      <c r="I107" s="395"/>
      <c r="J107" s="395"/>
      <c r="K107" s="395"/>
    </row>
    <row r="108" spans="1:11" ht="16.5">
      <c r="A108" s="383"/>
      <c r="B108" s="393"/>
      <c r="C108" s="394"/>
      <c r="D108" s="383"/>
      <c r="E108" s="395"/>
      <c r="F108" s="395"/>
      <c r="G108" s="395"/>
      <c r="H108" s="395"/>
      <c r="I108" s="395"/>
      <c r="J108" s="395"/>
      <c r="K108" s="395"/>
    </row>
    <row r="109" spans="1:11" ht="16.5">
      <c r="A109" s="383"/>
      <c r="B109" s="393"/>
      <c r="C109" s="394"/>
      <c r="D109" s="383"/>
      <c r="E109" s="395"/>
      <c r="F109" s="395"/>
      <c r="G109" s="395"/>
      <c r="H109" s="395"/>
      <c r="I109" s="395"/>
      <c r="J109" s="395"/>
      <c r="K109" s="395"/>
    </row>
    <row r="110" spans="1:11" ht="16.5">
      <c r="A110" s="383"/>
      <c r="B110" s="393"/>
      <c r="C110" s="394"/>
      <c r="D110" s="383"/>
      <c r="E110" s="395"/>
      <c r="F110" s="395"/>
      <c r="G110" s="395"/>
      <c r="H110" s="395"/>
      <c r="I110" s="395"/>
      <c r="J110" s="395"/>
      <c r="K110" s="395"/>
    </row>
    <row r="111" spans="1:11" ht="16.5">
      <c r="A111" s="383"/>
      <c r="B111" s="393"/>
      <c r="C111" s="394"/>
      <c r="D111" s="383"/>
      <c r="E111" s="395"/>
      <c r="F111" s="395"/>
      <c r="G111" s="395"/>
      <c r="H111" s="395"/>
      <c r="I111" s="395"/>
      <c r="J111" s="395"/>
      <c r="K111" s="395"/>
    </row>
    <row r="112" spans="1:11" ht="16.5">
      <c r="A112" s="383"/>
      <c r="B112" s="393"/>
      <c r="C112" s="394"/>
      <c r="D112" s="383"/>
      <c r="E112" s="395"/>
      <c r="F112" s="395"/>
      <c r="G112" s="395"/>
      <c r="H112" s="395"/>
      <c r="I112" s="395"/>
      <c r="J112" s="395"/>
      <c r="K112" s="395"/>
    </row>
    <row r="113" spans="1:11" ht="16.5">
      <c r="A113" s="383"/>
      <c r="B113" s="393"/>
      <c r="C113" s="394"/>
      <c r="D113" s="383"/>
      <c r="E113" s="395"/>
      <c r="F113" s="395"/>
      <c r="G113" s="395"/>
      <c r="H113" s="395"/>
      <c r="I113" s="395"/>
      <c r="J113" s="395"/>
      <c r="K113" s="395"/>
    </row>
    <row r="114" spans="1:11" ht="16.5">
      <c r="A114" s="383"/>
      <c r="B114" s="393"/>
      <c r="C114" s="394"/>
      <c r="D114" s="383"/>
      <c r="E114" s="395"/>
      <c r="F114" s="395"/>
      <c r="G114" s="395"/>
      <c r="H114" s="395"/>
      <c r="I114" s="395"/>
      <c r="J114" s="395"/>
      <c r="K114" s="395"/>
    </row>
    <row r="115" spans="1:11" ht="16.5">
      <c r="A115" s="383"/>
      <c r="B115" s="393"/>
      <c r="C115" s="394"/>
      <c r="D115" s="383"/>
      <c r="E115" s="395"/>
      <c r="F115" s="395"/>
      <c r="G115" s="395"/>
      <c r="H115" s="395"/>
      <c r="I115" s="395"/>
      <c r="J115" s="395"/>
      <c r="K115" s="395"/>
    </row>
    <row r="116" spans="1:11" ht="16.5">
      <c r="A116" s="383"/>
      <c r="B116" s="393"/>
      <c r="C116" s="394"/>
      <c r="D116" s="383"/>
      <c r="E116" s="395"/>
      <c r="F116" s="395"/>
      <c r="G116" s="395"/>
      <c r="H116" s="395"/>
      <c r="I116" s="395"/>
      <c r="J116" s="395"/>
      <c r="K116" s="395"/>
    </row>
    <row r="117" spans="1:11" ht="16.5">
      <c r="A117" s="383"/>
      <c r="B117" s="393"/>
      <c r="C117" s="394"/>
      <c r="D117" s="383"/>
      <c r="E117" s="395"/>
      <c r="F117" s="395"/>
      <c r="G117" s="395"/>
      <c r="H117" s="395"/>
      <c r="I117" s="395"/>
      <c r="J117" s="395"/>
      <c r="K117" s="395"/>
    </row>
    <row r="118" spans="1:11" ht="16.5">
      <c r="A118" s="383"/>
      <c r="B118" s="393"/>
      <c r="C118" s="394"/>
      <c r="D118" s="383"/>
      <c r="E118" s="395"/>
      <c r="F118" s="395"/>
      <c r="G118" s="395"/>
      <c r="H118" s="395"/>
      <c r="I118" s="395"/>
      <c r="J118" s="395"/>
      <c r="K118" s="395"/>
    </row>
    <row r="119" spans="1:11" ht="16.5">
      <c r="A119" s="383"/>
      <c r="B119" s="393"/>
      <c r="C119" s="394"/>
      <c r="D119" s="383"/>
      <c r="E119" s="395"/>
      <c r="F119" s="395"/>
      <c r="G119" s="395"/>
      <c r="H119" s="395"/>
      <c r="I119" s="395"/>
      <c r="J119" s="395"/>
      <c r="K119" s="395"/>
    </row>
    <row r="120" spans="1:11" ht="16.5">
      <c r="A120" s="383"/>
      <c r="B120" s="393"/>
      <c r="C120" s="394"/>
      <c r="D120" s="383"/>
      <c r="E120" s="395"/>
      <c r="F120" s="395"/>
      <c r="G120" s="395"/>
      <c r="H120" s="395"/>
      <c r="I120" s="395"/>
      <c r="J120" s="395"/>
      <c r="K120" s="395"/>
    </row>
    <row r="121" spans="1:11" ht="16.5">
      <c r="A121" s="383"/>
      <c r="B121" s="393"/>
      <c r="C121" s="394"/>
      <c r="D121" s="383"/>
      <c r="E121" s="395"/>
      <c r="F121" s="395"/>
      <c r="G121" s="395"/>
      <c r="H121" s="395"/>
      <c r="I121" s="395"/>
      <c r="J121" s="395"/>
      <c r="K121" s="395"/>
    </row>
    <row r="122" spans="1:11" ht="16.5">
      <c r="A122" s="383"/>
      <c r="B122" s="393"/>
      <c r="C122" s="394"/>
      <c r="D122" s="383"/>
      <c r="E122" s="395"/>
      <c r="F122" s="395"/>
      <c r="G122" s="395"/>
      <c r="H122" s="395"/>
      <c r="I122" s="395"/>
      <c r="J122" s="395"/>
      <c r="K122" s="395"/>
    </row>
    <row r="123" spans="1:11" ht="16.5">
      <c r="A123" s="383"/>
      <c r="B123" s="393"/>
      <c r="C123" s="394"/>
      <c r="D123" s="383"/>
      <c r="E123" s="395"/>
      <c r="F123" s="395"/>
      <c r="G123" s="395"/>
      <c r="H123" s="395"/>
      <c r="I123" s="395"/>
      <c r="J123" s="395"/>
      <c r="K123" s="395"/>
    </row>
    <row r="124" spans="1:11" ht="16.5">
      <c r="A124" s="383"/>
      <c r="B124" s="393"/>
      <c r="C124" s="394"/>
      <c r="D124" s="383"/>
      <c r="E124" s="395"/>
      <c r="F124" s="395"/>
      <c r="G124" s="395"/>
      <c r="H124" s="395"/>
      <c r="I124" s="395"/>
      <c r="J124" s="395"/>
      <c r="K124" s="395"/>
    </row>
    <row r="125" spans="1:11" ht="16.5">
      <c r="A125" s="383"/>
      <c r="B125" s="393"/>
      <c r="C125" s="394"/>
      <c r="D125" s="383"/>
      <c r="E125" s="395"/>
      <c r="F125" s="395"/>
      <c r="G125" s="395"/>
      <c r="H125" s="395"/>
      <c r="I125" s="395"/>
      <c r="J125" s="395"/>
      <c r="K125" s="395"/>
    </row>
    <row r="126" spans="1:11" ht="16.5">
      <c r="A126" s="383"/>
      <c r="B126" s="393"/>
      <c r="C126" s="394"/>
      <c r="D126" s="383"/>
      <c r="E126" s="395"/>
      <c r="F126" s="395"/>
      <c r="G126" s="395"/>
      <c r="H126" s="395"/>
      <c r="I126" s="395"/>
      <c r="J126" s="395"/>
      <c r="K126" s="395"/>
    </row>
    <row r="127" spans="1:11" ht="16.5">
      <c r="A127" s="383"/>
      <c r="B127" s="393"/>
      <c r="C127" s="394"/>
      <c r="D127" s="383"/>
      <c r="E127" s="395"/>
      <c r="F127" s="395"/>
      <c r="G127" s="395"/>
      <c r="H127" s="395"/>
      <c r="I127" s="395"/>
      <c r="J127" s="395"/>
      <c r="K127" s="395"/>
    </row>
    <row r="128" spans="1:11" ht="16.5">
      <c r="A128" s="383"/>
      <c r="B128" s="393"/>
      <c r="C128" s="394"/>
      <c r="D128" s="383"/>
      <c r="E128" s="395"/>
      <c r="F128" s="395"/>
      <c r="G128" s="395"/>
      <c r="H128" s="395"/>
      <c r="I128" s="395"/>
      <c r="J128" s="395"/>
      <c r="K128" s="395"/>
    </row>
    <row r="129" spans="1:11" ht="16.5">
      <c r="A129" s="383"/>
      <c r="B129" s="393"/>
      <c r="C129" s="394"/>
      <c r="D129" s="383"/>
      <c r="E129" s="395"/>
      <c r="F129" s="395"/>
      <c r="G129" s="395"/>
      <c r="H129" s="395"/>
      <c r="I129" s="395"/>
      <c r="J129" s="395"/>
      <c r="K129" s="395"/>
    </row>
    <row r="130" spans="1:11" ht="16.5">
      <c r="A130" s="383"/>
      <c r="B130" s="393"/>
      <c r="C130" s="394"/>
      <c r="D130" s="383"/>
      <c r="E130" s="395"/>
      <c r="F130" s="395"/>
      <c r="G130" s="395"/>
      <c r="H130" s="395"/>
      <c r="I130" s="395"/>
      <c r="J130" s="395"/>
      <c r="K130" s="395"/>
    </row>
    <row r="131" spans="1:11" ht="16.5">
      <c r="A131" s="383"/>
      <c r="B131" s="393"/>
      <c r="C131" s="394"/>
      <c r="D131" s="383"/>
      <c r="E131" s="395"/>
      <c r="F131" s="395"/>
      <c r="G131" s="395"/>
      <c r="H131" s="395"/>
      <c r="I131" s="395"/>
      <c r="J131" s="395"/>
      <c r="K131" s="395"/>
    </row>
    <row r="132" spans="1:11" ht="16.5">
      <c r="A132" s="383"/>
      <c r="B132" s="393"/>
      <c r="C132" s="394"/>
      <c r="D132" s="383"/>
      <c r="E132" s="395"/>
      <c r="F132" s="395"/>
      <c r="G132" s="395"/>
      <c r="H132" s="395"/>
      <c r="I132" s="395"/>
      <c r="J132" s="395"/>
      <c r="K132" s="395"/>
    </row>
    <row r="133" spans="1:11" ht="16.5">
      <c r="A133" s="383"/>
      <c r="B133" s="393"/>
      <c r="C133" s="394"/>
      <c r="D133" s="383"/>
      <c r="E133" s="395"/>
      <c r="F133" s="395"/>
      <c r="G133" s="395"/>
      <c r="H133" s="395"/>
      <c r="I133" s="395"/>
      <c r="J133" s="395"/>
      <c r="K133" s="395"/>
    </row>
    <row r="134" spans="1:11" ht="16.5">
      <c r="A134" s="383"/>
      <c r="B134" s="393"/>
      <c r="C134" s="394"/>
      <c r="D134" s="383"/>
      <c r="E134" s="395"/>
      <c r="F134" s="395"/>
      <c r="G134" s="395"/>
      <c r="H134" s="395"/>
      <c r="I134" s="395"/>
      <c r="J134" s="395"/>
      <c r="K134" s="395"/>
    </row>
    <row r="135" spans="1:11" ht="16.5">
      <c r="A135" s="383"/>
      <c r="B135" s="393"/>
      <c r="C135" s="394"/>
      <c r="D135" s="383"/>
      <c r="E135" s="395"/>
      <c r="F135" s="395"/>
      <c r="G135" s="395"/>
      <c r="H135" s="395"/>
      <c r="I135" s="395"/>
      <c r="J135" s="395"/>
      <c r="K135" s="395"/>
    </row>
    <row r="136" spans="1:11" ht="16.5">
      <c r="A136" s="383"/>
      <c r="B136" s="393"/>
      <c r="C136" s="394"/>
      <c r="D136" s="383"/>
      <c r="E136" s="395"/>
      <c r="F136" s="395"/>
      <c r="G136" s="395"/>
      <c r="H136" s="395"/>
      <c r="I136" s="395"/>
      <c r="J136" s="395"/>
      <c r="K136" s="395"/>
    </row>
    <row r="137" spans="1:11" ht="16.5">
      <c r="A137" s="383"/>
      <c r="B137" s="393"/>
      <c r="C137" s="394"/>
      <c r="D137" s="383"/>
      <c r="E137" s="395"/>
      <c r="F137" s="395"/>
      <c r="G137" s="395"/>
      <c r="H137" s="395"/>
      <c r="I137" s="395"/>
      <c r="J137" s="395"/>
      <c r="K137" s="395"/>
    </row>
    <row r="138" spans="1:11" ht="16.5">
      <c r="A138" s="383"/>
      <c r="B138" s="393"/>
      <c r="C138" s="394"/>
      <c r="D138" s="383"/>
      <c r="E138" s="395"/>
      <c r="F138" s="395"/>
      <c r="G138" s="395"/>
      <c r="H138" s="395"/>
      <c r="I138" s="395"/>
      <c r="J138" s="395"/>
      <c r="K138" s="395"/>
    </row>
    <row r="139" spans="1:11" ht="16.5">
      <c r="A139" s="383"/>
      <c r="B139" s="393"/>
      <c r="C139" s="394"/>
      <c r="D139" s="383"/>
      <c r="E139" s="395"/>
      <c r="F139" s="395"/>
      <c r="G139" s="395"/>
      <c r="H139" s="395"/>
      <c r="I139" s="395"/>
      <c r="J139" s="395"/>
      <c r="K139" s="395"/>
    </row>
    <row r="140" spans="1:11" ht="16.5">
      <c r="A140" s="383"/>
      <c r="B140" s="393"/>
      <c r="C140" s="394"/>
      <c r="D140" s="383"/>
      <c r="E140" s="395"/>
      <c r="F140" s="395"/>
      <c r="G140" s="395"/>
      <c r="H140" s="395"/>
      <c r="I140" s="395"/>
      <c r="J140" s="395"/>
      <c r="K140" s="395"/>
    </row>
    <row r="141" spans="1:11" ht="16.5">
      <c r="A141" s="383"/>
      <c r="B141" s="393"/>
      <c r="C141" s="394"/>
      <c r="D141" s="383"/>
      <c r="E141" s="395"/>
      <c r="F141" s="395"/>
      <c r="G141" s="395"/>
      <c r="H141" s="395"/>
      <c r="I141" s="395"/>
      <c r="J141" s="395"/>
      <c r="K141" s="395"/>
    </row>
    <row r="142" spans="1:11" ht="16.5">
      <c r="A142" s="383"/>
      <c r="B142" s="393"/>
      <c r="C142" s="394"/>
      <c r="D142" s="383"/>
      <c r="E142" s="395"/>
      <c r="F142" s="395"/>
      <c r="G142" s="395"/>
      <c r="H142" s="395"/>
      <c r="I142" s="395"/>
      <c r="J142" s="395"/>
      <c r="K142" s="395"/>
    </row>
    <row r="143" spans="1:11" ht="16.5">
      <c r="A143" s="383"/>
      <c r="B143" s="393"/>
      <c r="C143" s="394"/>
      <c r="D143" s="383"/>
      <c r="E143" s="395"/>
      <c r="F143" s="395"/>
      <c r="G143" s="395"/>
      <c r="H143" s="395"/>
      <c r="I143" s="395"/>
      <c r="J143" s="395"/>
      <c r="K143" s="395"/>
    </row>
    <row r="144" spans="1:11" ht="16.5">
      <c r="A144" s="383"/>
      <c r="B144" s="393"/>
      <c r="C144" s="394"/>
      <c r="D144" s="383"/>
      <c r="E144" s="395"/>
      <c r="F144" s="395"/>
      <c r="G144" s="395"/>
      <c r="H144" s="395"/>
      <c r="I144" s="395"/>
      <c r="J144" s="395"/>
      <c r="K144" s="395"/>
    </row>
    <row r="145" spans="1:11" ht="16.5">
      <c r="A145" s="383"/>
      <c r="B145" s="393"/>
      <c r="C145" s="394"/>
      <c r="D145" s="383"/>
      <c r="E145" s="395"/>
      <c r="F145" s="395"/>
      <c r="G145" s="395"/>
      <c r="H145" s="395"/>
      <c r="I145" s="395"/>
      <c r="J145" s="395"/>
      <c r="K145" s="395"/>
    </row>
    <row r="146" spans="1:11" ht="16.5">
      <c r="A146" s="383"/>
      <c r="B146" s="393"/>
      <c r="C146" s="394"/>
      <c r="D146" s="383"/>
      <c r="E146" s="395"/>
      <c r="F146" s="395"/>
      <c r="G146" s="395"/>
      <c r="H146" s="395"/>
      <c r="I146" s="395"/>
      <c r="J146" s="395"/>
      <c r="K146" s="395"/>
    </row>
    <row r="147" spans="1:11" ht="16.5">
      <c r="A147" s="383"/>
      <c r="B147" s="393"/>
      <c r="C147" s="394"/>
      <c r="D147" s="383"/>
      <c r="E147" s="395"/>
      <c r="F147" s="395"/>
      <c r="G147" s="395"/>
      <c r="H147" s="395"/>
      <c r="I147" s="395"/>
      <c r="J147" s="395"/>
      <c r="K147" s="395"/>
    </row>
    <row r="148" spans="1:11" ht="16.5">
      <c r="A148" s="383"/>
      <c r="B148" s="393"/>
      <c r="C148" s="394"/>
      <c r="D148" s="383"/>
      <c r="E148" s="395"/>
      <c r="F148" s="395"/>
      <c r="G148" s="395"/>
      <c r="H148" s="395"/>
      <c r="I148" s="395"/>
      <c r="J148" s="395"/>
      <c r="K148" s="395"/>
    </row>
    <row r="149" spans="1:11" ht="16.5">
      <c r="A149" s="383"/>
      <c r="B149" s="393"/>
      <c r="C149" s="394"/>
      <c r="D149" s="383"/>
      <c r="E149" s="395"/>
      <c r="F149" s="395"/>
      <c r="G149" s="395"/>
      <c r="H149" s="395"/>
      <c r="I149" s="395"/>
      <c r="J149" s="395"/>
      <c r="K149" s="395"/>
    </row>
    <row r="150" spans="1:11" ht="16.5">
      <c r="A150" s="383"/>
      <c r="B150" s="393"/>
      <c r="C150" s="394"/>
      <c r="D150" s="383"/>
      <c r="E150" s="395"/>
      <c r="F150" s="395"/>
      <c r="G150" s="395"/>
      <c r="H150" s="395"/>
      <c r="I150" s="395"/>
      <c r="J150" s="395"/>
      <c r="K150" s="395"/>
    </row>
    <row r="151" spans="1:11" ht="16.5">
      <c r="A151" s="383"/>
      <c r="B151" s="393"/>
      <c r="C151" s="394"/>
      <c r="D151" s="383"/>
      <c r="E151" s="395"/>
      <c r="F151" s="395"/>
      <c r="G151" s="395"/>
      <c r="H151" s="395"/>
      <c r="I151" s="395"/>
      <c r="J151" s="395"/>
      <c r="K151" s="395"/>
    </row>
    <row r="152" spans="1:11" ht="16.5">
      <c r="A152" s="383"/>
      <c r="B152" s="393"/>
      <c r="C152" s="394"/>
      <c r="D152" s="383"/>
      <c r="E152" s="395"/>
      <c r="F152" s="395"/>
      <c r="G152" s="395"/>
      <c r="H152" s="395"/>
      <c r="I152" s="395"/>
      <c r="J152" s="395"/>
      <c r="K152" s="395"/>
    </row>
    <row r="153" spans="1:11" ht="16.5">
      <c r="A153" s="383"/>
      <c r="B153" s="393"/>
      <c r="C153" s="394"/>
      <c r="D153" s="383"/>
      <c r="E153" s="395"/>
      <c r="F153" s="395"/>
      <c r="G153" s="395"/>
      <c r="H153" s="395"/>
      <c r="I153" s="395"/>
      <c r="J153" s="395"/>
      <c r="K153" s="395"/>
    </row>
    <row r="154" spans="1:11" ht="16.5">
      <c r="A154" s="383"/>
      <c r="B154" s="393"/>
      <c r="C154" s="394"/>
      <c r="D154" s="383"/>
      <c r="E154" s="395"/>
      <c r="F154" s="395"/>
      <c r="G154" s="395"/>
      <c r="H154" s="395"/>
      <c r="I154" s="395"/>
      <c r="J154" s="395"/>
      <c r="K154" s="395"/>
    </row>
    <row r="155" spans="1:11" ht="16.5">
      <c r="A155" s="383"/>
      <c r="B155" s="393"/>
      <c r="C155" s="394"/>
      <c r="D155" s="383"/>
      <c r="E155" s="395"/>
      <c r="F155" s="395"/>
      <c r="G155" s="395"/>
      <c r="H155" s="395"/>
      <c r="I155" s="395"/>
      <c r="J155" s="395"/>
      <c r="K155" s="395"/>
    </row>
    <row r="156" spans="1:11" ht="16.5">
      <c r="A156" s="383"/>
      <c r="B156" s="393"/>
      <c r="C156" s="394"/>
      <c r="D156" s="383"/>
      <c r="E156" s="395"/>
      <c r="F156" s="395"/>
      <c r="G156" s="395"/>
      <c r="H156" s="395"/>
      <c r="I156" s="395"/>
      <c r="J156" s="395"/>
      <c r="K156" s="395"/>
    </row>
    <row r="157" spans="1:11" ht="16.5">
      <c r="A157" s="383"/>
      <c r="B157" s="393"/>
      <c r="C157" s="394"/>
      <c r="D157" s="383"/>
      <c r="E157" s="395"/>
      <c r="F157" s="395"/>
      <c r="G157" s="395"/>
      <c r="H157" s="395"/>
      <c r="I157" s="395"/>
      <c r="J157" s="395"/>
      <c r="K157" s="395"/>
    </row>
    <row r="158" spans="1:11" ht="16.5">
      <c r="A158" s="383"/>
      <c r="B158" s="393"/>
      <c r="C158" s="394"/>
      <c r="D158" s="383"/>
      <c r="E158" s="395"/>
      <c r="F158" s="395"/>
      <c r="G158" s="395"/>
      <c r="H158" s="395"/>
      <c r="I158" s="395"/>
      <c r="J158" s="395"/>
      <c r="K158" s="395"/>
    </row>
    <row r="159" spans="1:11" ht="16.5">
      <c r="A159" s="383"/>
      <c r="B159" s="393"/>
      <c r="C159" s="394"/>
      <c r="D159" s="383"/>
      <c r="E159" s="395"/>
      <c r="F159" s="395"/>
      <c r="G159" s="395"/>
      <c r="H159" s="395"/>
      <c r="I159" s="395"/>
      <c r="J159" s="395"/>
      <c r="K159" s="395"/>
    </row>
    <row r="160" spans="1:11" ht="16.5">
      <c r="A160" s="383"/>
      <c r="B160" s="393"/>
      <c r="C160" s="394"/>
      <c r="D160" s="383"/>
      <c r="E160" s="395"/>
      <c r="F160" s="395"/>
      <c r="G160" s="395"/>
      <c r="H160" s="395"/>
      <c r="I160" s="395"/>
      <c r="J160" s="395"/>
      <c r="K160" s="395"/>
    </row>
    <row r="161" spans="1:11" ht="16.5">
      <c r="A161" s="383"/>
      <c r="B161" s="393"/>
      <c r="C161" s="394"/>
      <c r="D161" s="383"/>
      <c r="E161" s="395"/>
      <c r="F161" s="395"/>
      <c r="G161" s="395"/>
      <c r="H161" s="395"/>
      <c r="I161" s="395"/>
      <c r="J161" s="395"/>
      <c r="K161" s="395"/>
    </row>
    <row r="162" spans="1:11" ht="16.5">
      <c r="A162" s="383"/>
      <c r="B162" s="393"/>
      <c r="C162" s="394"/>
      <c r="D162" s="383"/>
      <c r="E162" s="395"/>
      <c r="F162" s="395"/>
      <c r="G162" s="395"/>
      <c r="H162" s="395"/>
      <c r="I162" s="395"/>
      <c r="J162" s="395"/>
      <c r="K162" s="395"/>
    </row>
    <row r="163" spans="1:11" ht="16.5">
      <c r="A163" s="383"/>
      <c r="B163" s="393"/>
      <c r="C163" s="394"/>
      <c r="D163" s="383"/>
      <c r="E163" s="395"/>
      <c r="F163" s="395"/>
      <c r="G163" s="395"/>
      <c r="H163" s="395"/>
      <c r="I163" s="395"/>
      <c r="J163" s="395"/>
      <c r="K163" s="395"/>
    </row>
    <row r="164" spans="1:11" ht="16.5">
      <c r="A164" s="383"/>
      <c r="B164" s="393"/>
      <c r="C164" s="394"/>
      <c r="D164" s="383"/>
      <c r="E164" s="395"/>
      <c r="F164" s="395"/>
      <c r="G164" s="395"/>
      <c r="H164" s="395"/>
      <c r="I164" s="395"/>
      <c r="J164" s="395"/>
      <c r="K164" s="395"/>
    </row>
    <row r="165" spans="1:11" ht="16.5">
      <c r="A165" s="383"/>
      <c r="B165" s="393"/>
      <c r="C165" s="394"/>
      <c r="D165" s="383"/>
      <c r="E165" s="395"/>
      <c r="F165" s="395"/>
      <c r="G165" s="395"/>
      <c r="H165" s="395"/>
      <c r="I165" s="395"/>
      <c r="J165" s="395"/>
      <c r="K165" s="395"/>
    </row>
    <row r="166" spans="1:11" ht="16.5">
      <c r="A166" s="383"/>
      <c r="B166" s="393"/>
      <c r="C166" s="394"/>
      <c r="D166" s="383"/>
      <c r="E166" s="395"/>
      <c r="F166" s="395"/>
      <c r="G166" s="395"/>
      <c r="H166" s="395"/>
      <c r="I166" s="395"/>
      <c r="J166" s="395"/>
      <c r="K166" s="395"/>
    </row>
    <row r="167" spans="1:11" ht="16.5">
      <c r="A167" s="383"/>
      <c r="B167" s="393"/>
      <c r="C167" s="394"/>
      <c r="D167" s="383"/>
      <c r="E167" s="395"/>
      <c r="F167" s="395"/>
      <c r="G167" s="395"/>
      <c r="H167" s="395"/>
      <c r="I167" s="395"/>
      <c r="J167" s="395"/>
      <c r="K167" s="395"/>
    </row>
    <row r="168" spans="1:11" ht="16.5">
      <c r="A168" s="383"/>
      <c r="B168" s="393"/>
      <c r="C168" s="394"/>
      <c r="D168" s="383"/>
      <c r="E168" s="395"/>
      <c r="F168" s="395"/>
      <c r="G168" s="395"/>
      <c r="H168" s="395"/>
      <c r="I168" s="395"/>
      <c r="J168" s="395"/>
      <c r="K168" s="395"/>
    </row>
    <row r="169" spans="1:11" ht="16.5">
      <c r="A169" s="383"/>
      <c r="B169" s="393"/>
      <c r="C169" s="394"/>
      <c r="D169" s="383"/>
      <c r="E169" s="395"/>
      <c r="F169" s="395"/>
      <c r="G169" s="395"/>
      <c r="H169" s="395"/>
      <c r="I169" s="395"/>
      <c r="J169" s="395"/>
      <c r="K169" s="395"/>
    </row>
    <row r="170" spans="1:11" ht="16.5">
      <c r="A170" s="383"/>
      <c r="B170" s="393"/>
      <c r="C170" s="394"/>
      <c r="D170" s="383"/>
      <c r="E170" s="395"/>
      <c r="F170" s="395"/>
      <c r="G170" s="395"/>
      <c r="H170" s="395"/>
      <c r="I170" s="395"/>
      <c r="J170" s="395"/>
      <c r="K170" s="395"/>
    </row>
    <row r="171" spans="1:11" ht="16.5">
      <c r="A171" s="383"/>
      <c r="B171" s="393"/>
      <c r="C171" s="394"/>
      <c r="D171" s="383"/>
      <c r="E171" s="395"/>
      <c r="F171" s="395"/>
      <c r="G171" s="395"/>
      <c r="H171" s="395"/>
      <c r="I171" s="395"/>
      <c r="J171" s="395"/>
      <c r="K171" s="395"/>
    </row>
    <row r="172" spans="1:11" ht="16.5">
      <c r="A172" s="383"/>
      <c r="B172" s="393"/>
      <c r="C172" s="394"/>
      <c r="D172" s="383"/>
      <c r="E172" s="395"/>
      <c r="F172" s="395"/>
      <c r="G172" s="395"/>
      <c r="H172" s="395"/>
      <c r="I172" s="395"/>
      <c r="J172" s="395"/>
      <c r="K172" s="395"/>
    </row>
    <row r="173" spans="1:11" ht="16.5">
      <c r="A173" s="383"/>
      <c r="B173" s="393"/>
      <c r="C173" s="394"/>
      <c r="D173" s="383"/>
      <c r="E173" s="395"/>
      <c r="F173" s="395"/>
      <c r="G173" s="395"/>
      <c r="H173" s="395"/>
      <c r="I173" s="395"/>
      <c r="J173" s="395"/>
      <c r="K173" s="395"/>
    </row>
    <row r="174" spans="1:11" ht="16.5">
      <c r="A174" s="383"/>
      <c r="B174" s="393"/>
      <c r="C174" s="394"/>
      <c r="D174" s="383"/>
      <c r="E174" s="395"/>
      <c r="F174" s="395"/>
      <c r="G174" s="395"/>
      <c r="H174" s="395"/>
      <c r="I174" s="395"/>
      <c r="J174" s="395"/>
      <c r="K174" s="395"/>
    </row>
    <row r="175" spans="1:11" ht="16.5">
      <c r="A175" s="383"/>
      <c r="B175" s="393"/>
      <c r="C175" s="394"/>
      <c r="D175" s="383"/>
      <c r="E175" s="395"/>
      <c r="F175" s="395"/>
      <c r="G175" s="395"/>
      <c r="H175" s="395"/>
      <c r="I175" s="395"/>
      <c r="J175" s="395"/>
      <c r="K175" s="395"/>
    </row>
    <row r="176" spans="1:11" ht="16.5">
      <c r="A176" s="383"/>
      <c r="B176" s="393"/>
      <c r="C176" s="394"/>
      <c r="D176" s="383"/>
      <c r="E176" s="395"/>
      <c r="F176" s="395"/>
      <c r="G176" s="395"/>
      <c r="H176" s="395"/>
      <c r="I176" s="395"/>
      <c r="J176" s="395"/>
      <c r="K176" s="395"/>
    </row>
    <row r="177" spans="1:11" ht="16.5">
      <c r="A177" s="383"/>
      <c r="B177" s="393"/>
      <c r="C177" s="394"/>
      <c r="D177" s="383"/>
      <c r="E177" s="395"/>
      <c r="F177" s="395"/>
      <c r="G177" s="395"/>
      <c r="H177" s="395"/>
      <c r="I177" s="395"/>
      <c r="J177" s="395"/>
      <c r="K177" s="395"/>
    </row>
    <row r="178" spans="1:11" ht="16.5">
      <c r="A178" s="383"/>
      <c r="B178" s="393"/>
      <c r="C178" s="394"/>
      <c r="D178" s="383"/>
      <c r="E178" s="395"/>
      <c r="F178" s="395"/>
      <c r="G178" s="395"/>
      <c r="H178" s="395"/>
      <c r="I178" s="395"/>
      <c r="J178" s="395"/>
      <c r="K178" s="395"/>
    </row>
    <row r="179" spans="1:11" ht="16.5">
      <c r="A179" s="383"/>
      <c r="B179" s="393"/>
      <c r="C179" s="394"/>
      <c r="D179" s="383"/>
      <c r="E179" s="395"/>
      <c r="F179" s="395"/>
      <c r="G179" s="395"/>
      <c r="H179" s="395"/>
      <c r="I179" s="395"/>
      <c r="J179" s="395"/>
      <c r="K179" s="395"/>
    </row>
    <row r="180" spans="1:11" ht="16.5">
      <c r="A180" s="383"/>
      <c r="B180" s="393"/>
      <c r="C180" s="394"/>
      <c r="D180" s="383"/>
      <c r="E180" s="395"/>
      <c r="F180" s="395"/>
      <c r="G180" s="395"/>
      <c r="H180" s="395"/>
      <c r="I180" s="395"/>
      <c r="J180" s="395"/>
      <c r="K180" s="395"/>
    </row>
    <row r="181" spans="1:11" ht="16.5">
      <c r="A181" s="383"/>
      <c r="B181" s="393"/>
      <c r="C181" s="394"/>
      <c r="D181" s="383"/>
      <c r="E181" s="395"/>
      <c r="F181" s="395"/>
      <c r="G181" s="395"/>
      <c r="H181" s="395"/>
      <c r="I181" s="395"/>
      <c r="J181" s="395"/>
      <c r="K181" s="395"/>
    </row>
    <row r="182" spans="1:11" ht="16.5">
      <c r="A182" s="383"/>
      <c r="B182" s="393"/>
      <c r="C182" s="394"/>
      <c r="D182" s="383"/>
      <c r="E182" s="395"/>
      <c r="F182" s="395"/>
      <c r="G182" s="395"/>
      <c r="H182" s="395"/>
      <c r="I182" s="395"/>
      <c r="J182" s="395"/>
      <c r="K182" s="395"/>
    </row>
    <row r="183" spans="1:11" ht="16.5">
      <c r="A183" s="383"/>
      <c r="B183" s="393"/>
      <c r="C183" s="394"/>
      <c r="D183" s="383"/>
      <c r="E183" s="395"/>
      <c r="F183" s="395"/>
      <c r="G183" s="395"/>
      <c r="H183" s="395"/>
      <c r="I183" s="395"/>
      <c r="J183" s="395"/>
      <c r="K183" s="395"/>
    </row>
    <row r="184" spans="1:11" ht="16.5">
      <c r="A184" s="383"/>
      <c r="B184" s="393"/>
      <c r="C184" s="394"/>
      <c r="D184" s="383"/>
      <c r="E184" s="395"/>
      <c r="F184" s="395"/>
      <c r="G184" s="395"/>
      <c r="H184" s="395"/>
      <c r="I184" s="395"/>
      <c r="J184" s="395"/>
      <c r="K184" s="395"/>
    </row>
    <row r="185" spans="1:11" ht="16.5">
      <c r="A185" s="383"/>
      <c r="B185" s="393"/>
      <c r="C185" s="394"/>
      <c r="D185" s="383"/>
      <c r="E185" s="395"/>
      <c r="F185" s="395"/>
      <c r="G185" s="395"/>
      <c r="H185" s="395"/>
      <c r="I185" s="395"/>
      <c r="J185" s="395"/>
      <c r="K185" s="395"/>
    </row>
    <row r="186" spans="1:11" ht="16.5">
      <c r="A186" s="383"/>
      <c r="B186" s="393"/>
      <c r="C186" s="394"/>
      <c r="D186" s="383"/>
      <c r="E186" s="395"/>
      <c r="F186" s="395"/>
      <c r="G186" s="395"/>
      <c r="H186" s="395"/>
      <c r="I186" s="395"/>
      <c r="J186" s="395"/>
      <c r="K186" s="395"/>
    </row>
    <row r="187" spans="1:11" ht="16.5">
      <c r="A187" s="383"/>
      <c r="B187" s="393"/>
      <c r="C187" s="394"/>
      <c r="D187" s="383"/>
      <c r="E187" s="395"/>
      <c r="F187" s="395"/>
      <c r="G187" s="395"/>
      <c r="H187" s="395"/>
      <c r="I187" s="395"/>
      <c r="J187" s="395"/>
      <c r="K187" s="395"/>
    </row>
    <row r="188" spans="1:11" ht="16.5">
      <c r="A188" s="383"/>
      <c r="B188" s="393"/>
      <c r="C188" s="394"/>
      <c r="D188" s="383"/>
      <c r="E188" s="395"/>
      <c r="F188" s="395"/>
      <c r="G188" s="395"/>
      <c r="H188" s="395"/>
      <c r="I188" s="395"/>
      <c r="J188" s="395"/>
      <c r="K188" s="395"/>
    </row>
    <row r="189" spans="1:11" ht="16.5">
      <c r="A189" s="383"/>
      <c r="B189" s="393"/>
      <c r="C189" s="394"/>
      <c r="D189" s="383"/>
      <c r="E189" s="395"/>
      <c r="F189" s="395"/>
      <c r="G189" s="395"/>
      <c r="H189" s="395"/>
      <c r="I189" s="395"/>
      <c r="J189" s="395"/>
      <c r="K189" s="395"/>
    </row>
    <row r="190" spans="1:11" ht="16.5">
      <c r="A190" s="383"/>
      <c r="B190" s="393"/>
      <c r="C190" s="394"/>
      <c r="D190" s="383"/>
      <c r="E190" s="395"/>
      <c r="F190" s="395"/>
      <c r="G190" s="395"/>
      <c r="H190" s="395"/>
      <c r="I190" s="395"/>
      <c r="J190" s="395"/>
      <c r="K190" s="395"/>
    </row>
    <row r="191" spans="1:11" ht="16.5">
      <c r="A191" s="383"/>
      <c r="B191" s="393"/>
      <c r="C191" s="394"/>
      <c r="D191" s="383"/>
      <c r="E191" s="395"/>
      <c r="F191" s="395"/>
      <c r="G191" s="395"/>
      <c r="H191" s="395"/>
      <c r="I191" s="395"/>
      <c r="J191" s="395"/>
      <c r="K191" s="395"/>
    </row>
    <row r="192" spans="1:11" ht="16.5">
      <c r="A192" s="383"/>
      <c r="B192" s="393"/>
      <c r="C192" s="394"/>
      <c r="D192" s="383"/>
      <c r="E192" s="395"/>
      <c r="F192" s="395"/>
      <c r="G192" s="395"/>
      <c r="H192" s="395"/>
      <c r="I192" s="395"/>
      <c r="J192" s="395"/>
      <c r="K192" s="395"/>
    </row>
    <row r="193" spans="1:11" ht="16.5">
      <c r="A193" s="383"/>
      <c r="B193" s="393"/>
      <c r="C193" s="394"/>
      <c r="D193" s="383"/>
      <c r="E193" s="395"/>
      <c r="F193" s="395"/>
      <c r="G193" s="395"/>
      <c r="H193" s="395"/>
      <c r="I193" s="395"/>
      <c r="J193" s="395"/>
      <c r="K193" s="395"/>
    </row>
    <row r="194" spans="1:11" ht="16.5">
      <c r="A194" s="383"/>
      <c r="B194" s="393"/>
      <c r="C194" s="394"/>
      <c r="D194" s="383"/>
      <c r="E194" s="395"/>
      <c r="F194" s="395"/>
      <c r="G194" s="395"/>
      <c r="H194" s="395"/>
      <c r="I194" s="395"/>
      <c r="J194" s="395"/>
      <c r="K194" s="395"/>
    </row>
    <row r="195" spans="1:11" ht="16.5">
      <c r="A195" s="383"/>
      <c r="B195" s="393"/>
      <c r="C195" s="394"/>
      <c r="D195" s="383"/>
      <c r="E195" s="395"/>
      <c r="F195" s="395"/>
      <c r="G195" s="395"/>
      <c r="H195" s="395"/>
      <c r="I195" s="395"/>
      <c r="J195" s="395"/>
      <c r="K195" s="395"/>
    </row>
    <row r="196" spans="1:11" ht="16.5">
      <c r="A196" s="383"/>
      <c r="B196" s="393"/>
      <c r="C196" s="394"/>
      <c r="D196" s="383"/>
      <c r="E196" s="395"/>
      <c r="F196" s="395"/>
      <c r="G196" s="395"/>
      <c r="H196" s="395"/>
      <c r="I196" s="395"/>
      <c r="J196" s="395"/>
      <c r="K196" s="395"/>
    </row>
    <row r="197" spans="1:11" ht="16.5">
      <c r="A197" s="383"/>
      <c r="B197" s="393"/>
      <c r="C197" s="394"/>
      <c r="D197" s="383"/>
      <c r="E197" s="395"/>
      <c r="F197" s="395"/>
      <c r="G197" s="395"/>
      <c r="H197" s="395"/>
      <c r="I197" s="395"/>
      <c r="J197" s="395"/>
      <c r="K197" s="395"/>
    </row>
    <row r="198" spans="1:11" ht="16.5">
      <c r="A198" s="383"/>
      <c r="B198" s="393"/>
      <c r="C198" s="394"/>
      <c r="D198" s="383"/>
      <c r="E198" s="395"/>
      <c r="F198" s="395"/>
      <c r="G198" s="395"/>
      <c r="H198" s="395"/>
      <c r="I198" s="395"/>
      <c r="J198" s="395"/>
      <c r="K198" s="395"/>
    </row>
    <row r="199" spans="1:11" ht="16.5">
      <c r="A199" s="383"/>
      <c r="B199" s="393"/>
      <c r="C199" s="394"/>
      <c r="D199" s="383"/>
      <c r="E199" s="395"/>
      <c r="F199" s="395"/>
      <c r="G199" s="395"/>
      <c r="H199" s="395"/>
      <c r="I199" s="395"/>
      <c r="J199" s="395"/>
      <c r="K199" s="395"/>
    </row>
    <row r="200" spans="1:11" ht="16.5">
      <c r="A200" s="383"/>
      <c r="B200" s="393"/>
      <c r="C200" s="394"/>
      <c r="D200" s="383"/>
      <c r="E200" s="395"/>
      <c r="F200" s="395"/>
      <c r="G200" s="395"/>
      <c r="H200" s="395"/>
      <c r="I200" s="395"/>
      <c r="J200" s="395"/>
      <c r="K200" s="395"/>
    </row>
    <row r="201" spans="1:11" ht="16.5">
      <c r="A201" s="383"/>
      <c r="B201" s="393"/>
      <c r="C201" s="394"/>
      <c r="D201" s="383"/>
      <c r="E201" s="395"/>
      <c r="F201" s="395"/>
      <c r="G201" s="395"/>
      <c r="H201" s="395"/>
      <c r="I201" s="395"/>
      <c r="J201" s="395"/>
      <c r="K201" s="395"/>
    </row>
    <row r="202" spans="1:11" ht="16.5">
      <c r="A202" s="383"/>
      <c r="B202" s="393"/>
      <c r="C202" s="394"/>
      <c r="D202" s="383"/>
      <c r="E202" s="395"/>
      <c r="F202" s="395"/>
      <c r="G202" s="395"/>
      <c r="H202" s="395"/>
      <c r="I202" s="395"/>
      <c r="J202" s="395"/>
      <c r="K202" s="395"/>
    </row>
    <row r="203" spans="1:11" ht="16.5">
      <c r="A203" s="383"/>
      <c r="B203" s="393"/>
      <c r="C203" s="394"/>
      <c r="D203" s="383"/>
      <c r="E203" s="395"/>
      <c r="F203" s="395"/>
      <c r="G203" s="395"/>
      <c r="H203" s="395"/>
      <c r="I203" s="395"/>
      <c r="J203" s="395"/>
      <c r="K203" s="395"/>
    </row>
    <row r="204" spans="1:11" ht="16.5">
      <c r="A204" s="383"/>
      <c r="B204" s="393"/>
      <c r="C204" s="394"/>
      <c r="D204" s="383"/>
      <c r="E204" s="395"/>
      <c r="F204" s="395"/>
      <c r="G204" s="395"/>
      <c r="H204" s="395"/>
      <c r="I204" s="395"/>
      <c r="J204" s="395"/>
      <c r="K204" s="395"/>
    </row>
    <row r="205" spans="1:11" ht="16.5">
      <c r="A205" s="383"/>
      <c r="B205" s="393"/>
      <c r="C205" s="394"/>
      <c r="D205" s="383"/>
      <c r="E205" s="395"/>
      <c r="F205" s="395"/>
      <c r="G205" s="395"/>
      <c r="H205" s="395"/>
      <c r="I205" s="395"/>
      <c r="J205" s="395"/>
      <c r="K205" s="395"/>
    </row>
    <row r="206" spans="1:11" ht="16.5">
      <c r="A206" s="383"/>
      <c r="B206" s="393"/>
      <c r="C206" s="394"/>
      <c r="D206" s="383"/>
      <c r="E206" s="395"/>
      <c r="F206" s="395"/>
      <c r="G206" s="395"/>
      <c r="H206" s="395"/>
      <c r="I206" s="395"/>
      <c r="J206" s="395"/>
      <c r="K206" s="395"/>
    </row>
    <row r="207" spans="1:11" ht="16.5">
      <c r="A207" s="383"/>
      <c r="B207" s="393"/>
      <c r="C207" s="394"/>
      <c r="D207" s="383"/>
      <c r="E207" s="395"/>
      <c r="F207" s="395"/>
      <c r="G207" s="395"/>
      <c r="H207" s="395"/>
      <c r="I207" s="395"/>
      <c r="J207" s="395"/>
      <c r="K207" s="395"/>
    </row>
    <row r="208" spans="1:11" ht="16.5">
      <c r="A208" s="383"/>
      <c r="B208" s="393"/>
      <c r="C208" s="394"/>
      <c r="D208" s="383"/>
      <c r="E208" s="395"/>
      <c r="F208" s="395"/>
      <c r="G208" s="395"/>
      <c r="H208" s="395"/>
      <c r="I208" s="395"/>
      <c r="J208" s="395"/>
      <c r="K208" s="395"/>
    </row>
    <row r="209" spans="1:11" ht="16.5">
      <c r="A209" s="383"/>
      <c r="B209" s="393"/>
      <c r="C209" s="394"/>
      <c r="D209" s="383"/>
      <c r="E209" s="395"/>
      <c r="F209" s="395"/>
      <c r="G209" s="395"/>
      <c r="H209" s="395"/>
      <c r="I209" s="395"/>
      <c r="J209" s="395"/>
      <c r="K209" s="395"/>
    </row>
    <row r="210" spans="1:11" ht="16.5">
      <c r="A210" s="383"/>
      <c r="B210" s="393"/>
      <c r="C210" s="394"/>
      <c r="D210" s="383"/>
      <c r="E210" s="395"/>
      <c r="F210" s="395"/>
      <c r="G210" s="395"/>
      <c r="H210" s="395"/>
      <c r="I210" s="395"/>
      <c r="J210" s="395"/>
      <c r="K210" s="395"/>
    </row>
    <row r="211" spans="1:11" ht="16.5">
      <c r="A211" s="383"/>
      <c r="B211" s="393"/>
      <c r="C211" s="394"/>
      <c r="D211" s="383"/>
      <c r="E211" s="395"/>
      <c r="F211" s="395"/>
      <c r="G211" s="395"/>
      <c r="H211" s="395"/>
      <c r="I211" s="395"/>
      <c r="J211" s="395"/>
      <c r="K211" s="395"/>
    </row>
    <row r="212" spans="1:11" ht="16.5">
      <c r="A212" s="383"/>
      <c r="B212" s="393"/>
      <c r="C212" s="394"/>
      <c r="D212" s="383"/>
      <c r="E212" s="395"/>
      <c r="F212" s="395"/>
      <c r="G212" s="395"/>
      <c r="H212" s="395"/>
      <c r="I212" s="395"/>
      <c r="J212" s="395"/>
      <c r="K212" s="395"/>
    </row>
    <row r="213" spans="1:11" ht="16.5">
      <c r="A213" s="383"/>
      <c r="B213" s="393"/>
      <c r="C213" s="394"/>
      <c r="D213" s="383"/>
      <c r="E213" s="395"/>
      <c r="F213" s="395"/>
      <c r="G213" s="395"/>
      <c r="H213" s="395"/>
      <c r="I213" s="395"/>
      <c r="J213" s="395"/>
      <c r="K213" s="395"/>
    </row>
    <row r="214" spans="1:11" ht="16.5">
      <c r="A214" s="383"/>
      <c r="B214" s="393"/>
      <c r="C214" s="394"/>
      <c r="D214" s="383"/>
      <c r="E214" s="395"/>
      <c r="F214" s="395"/>
      <c r="G214" s="395"/>
      <c r="H214" s="395"/>
      <c r="I214" s="395"/>
      <c r="J214" s="395"/>
      <c r="K214" s="395"/>
    </row>
    <row r="215" spans="1:11" ht="16.5">
      <c r="A215" s="383"/>
      <c r="B215" s="393"/>
      <c r="C215" s="394"/>
      <c r="D215" s="383"/>
      <c r="E215" s="395"/>
      <c r="F215" s="395"/>
      <c r="G215" s="395"/>
      <c r="H215" s="395"/>
      <c r="I215" s="395"/>
      <c r="J215" s="395"/>
      <c r="K215" s="395"/>
    </row>
    <row r="216" spans="1:11" ht="16.5">
      <c r="A216" s="383"/>
      <c r="B216" s="393"/>
      <c r="C216" s="394"/>
      <c r="D216" s="383"/>
      <c r="E216" s="395"/>
      <c r="F216" s="395"/>
      <c r="G216" s="395"/>
      <c r="H216" s="395"/>
      <c r="I216" s="395"/>
      <c r="J216" s="395"/>
      <c r="K216" s="395"/>
    </row>
    <row r="217" spans="1:11" ht="16.5">
      <c r="A217" s="383"/>
      <c r="B217" s="393"/>
      <c r="C217" s="394"/>
      <c r="D217" s="383"/>
      <c r="E217" s="395"/>
      <c r="F217" s="395"/>
      <c r="G217" s="395"/>
      <c r="H217" s="395"/>
      <c r="I217" s="395"/>
      <c r="J217" s="395"/>
      <c r="K217" s="395"/>
    </row>
    <row r="218" spans="1:11" ht="16.5">
      <c r="A218" s="383"/>
      <c r="B218" s="393"/>
      <c r="C218" s="394"/>
      <c r="D218" s="383"/>
      <c r="E218" s="395"/>
      <c r="F218" s="395"/>
      <c r="G218" s="395"/>
      <c r="H218" s="395"/>
      <c r="I218" s="395"/>
      <c r="J218" s="395"/>
      <c r="K218" s="395"/>
    </row>
    <row r="219" spans="1:11" ht="16.5">
      <c r="A219" s="383"/>
      <c r="B219" s="393"/>
      <c r="C219" s="394"/>
      <c r="D219" s="383"/>
      <c r="E219" s="395"/>
      <c r="F219" s="395"/>
      <c r="G219" s="395"/>
      <c r="H219" s="395"/>
      <c r="I219" s="395"/>
      <c r="J219" s="395"/>
      <c r="K219" s="395"/>
    </row>
    <row r="220" spans="1:11" ht="16.5">
      <c r="A220" s="383"/>
      <c r="B220" s="393"/>
      <c r="C220" s="394"/>
      <c r="D220" s="383"/>
      <c r="E220" s="395"/>
      <c r="F220" s="395"/>
      <c r="G220" s="395"/>
      <c r="H220" s="395"/>
      <c r="I220" s="395"/>
      <c r="J220" s="395"/>
      <c r="K220" s="395"/>
    </row>
    <row r="221" spans="1:11" ht="16.5">
      <c r="A221" s="383"/>
      <c r="B221" s="393"/>
      <c r="C221" s="394"/>
      <c r="D221" s="383"/>
      <c r="E221" s="395"/>
      <c r="F221" s="395"/>
      <c r="G221" s="395"/>
      <c r="H221" s="395"/>
      <c r="I221" s="395"/>
      <c r="J221" s="395"/>
      <c r="K221" s="395"/>
    </row>
    <row r="222" spans="1:11" ht="16.5">
      <c r="A222" s="383"/>
      <c r="B222" s="393"/>
      <c r="C222" s="394"/>
      <c r="D222" s="383"/>
      <c r="E222" s="395"/>
      <c r="F222" s="395"/>
      <c r="G222" s="395"/>
      <c r="H222" s="395"/>
      <c r="I222" s="395"/>
      <c r="J222" s="395"/>
      <c r="K222" s="395"/>
    </row>
    <row r="223" spans="1:11" ht="16.5">
      <c r="A223" s="383"/>
      <c r="B223" s="393"/>
      <c r="C223" s="394"/>
      <c r="D223" s="383"/>
      <c r="E223" s="395"/>
      <c r="F223" s="395"/>
      <c r="G223" s="395"/>
      <c r="H223" s="395"/>
      <c r="I223" s="395"/>
      <c r="J223" s="395"/>
      <c r="K223" s="395"/>
    </row>
    <row r="224" spans="1:11" ht="16.5">
      <c r="A224" s="383"/>
      <c r="B224" s="393"/>
      <c r="C224" s="394"/>
      <c r="D224" s="383"/>
      <c r="E224" s="395"/>
      <c r="F224" s="395"/>
      <c r="G224" s="395"/>
      <c r="H224" s="395"/>
      <c r="I224" s="395"/>
      <c r="J224" s="395"/>
      <c r="K224" s="395"/>
    </row>
    <row r="225" spans="1:11" ht="16.5">
      <c r="A225" s="383"/>
      <c r="B225" s="393"/>
      <c r="C225" s="394"/>
      <c r="D225" s="383"/>
      <c r="E225" s="395"/>
      <c r="F225" s="395"/>
      <c r="G225" s="395"/>
      <c r="H225" s="395"/>
      <c r="I225" s="395"/>
      <c r="J225" s="395"/>
      <c r="K225" s="395"/>
    </row>
    <row r="226" spans="1:11" ht="16.5">
      <c r="A226" s="383"/>
      <c r="B226" s="393"/>
      <c r="C226" s="394"/>
      <c r="D226" s="383"/>
      <c r="E226" s="395"/>
      <c r="F226" s="395"/>
      <c r="G226" s="395"/>
      <c r="H226" s="395"/>
      <c r="I226" s="395"/>
      <c r="J226" s="395"/>
      <c r="K226" s="395"/>
    </row>
    <row r="227" spans="1:11" ht="16.5">
      <c r="A227" s="383"/>
      <c r="B227" s="393"/>
      <c r="C227" s="394"/>
      <c r="D227" s="383"/>
      <c r="E227" s="395"/>
      <c r="F227" s="395"/>
      <c r="G227" s="395"/>
      <c r="H227" s="395"/>
      <c r="I227" s="395"/>
      <c r="J227" s="395"/>
      <c r="K227" s="395"/>
    </row>
    <row r="228" spans="1:11" ht="16.5">
      <c r="A228" s="383"/>
      <c r="B228" s="393"/>
      <c r="C228" s="394"/>
      <c r="D228" s="383"/>
      <c r="E228" s="395"/>
      <c r="F228" s="395"/>
      <c r="G228" s="395"/>
      <c r="H228" s="395"/>
      <c r="I228" s="395"/>
      <c r="J228" s="395"/>
      <c r="K228" s="395"/>
    </row>
    <row r="229" spans="1:11" ht="16.5">
      <c r="A229" s="383"/>
      <c r="B229" s="393"/>
      <c r="C229" s="394"/>
      <c r="D229" s="383"/>
      <c r="E229" s="395"/>
      <c r="F229" s="395"/>
      <c r="G229" s="395"/>
      <c r="H229" s="395"/>
      <c r="I229" s="395"/>
      <c r="J229" s="395"/>
      <c r="K229" s="395"/>
    </row>
    <row r="230" spans="1:11" ht="16.5">
      <c r="A230" s="383"/>
      <c r="B230" s="393"/>
      <c r="C230" s="394"/>
      <c r="D230" s="383"/>
      <c r="E230" s="395"/>
      <c r="F230" s="395"/>
      <c r="G230" s="395"/>
      <c r="H230" s="395"/>
      <c r="I230" s="395"/>
      <c r="J230" s="395"/>
      <c r="K230" s="395"/>
    </row>
    <row r="231" spans="1:11" ht="16.5">
      <c r="A231" s="383"/>
      <c r="B231" s="393"/>
      <c r="C231" s="394"/>
      <c r="D231" s="383"/>
      <c r="E231" s="395"/>
      <c r="F231" s="395"/>
      <c r="G231" s="395"/>
      <c r="H231" s="395"/>
      <c r="I231" s="395"/>
      <c r="J231" s="395"/>
      <c r="K231" s="395"/>
    </row>
    <row r="232" spans="1:11" ht="16.5">
      <c r="A232" s="383"/>
      <c r="B232" s="393"/>
      <c r="C232" s="394"/>
      <c r="D232" s="383"/>
      <c r="E232" s="395"/>
      <c r="F232" s="395"/>
      <c r="G232" s="395"/>
      <c r="H232" s="395"/>
      <c r="I232" s="395"/>
      <c r="J232" s="395"/>
      <c r="K232" s="395"/>
    </row>
    <row r="233" spans="1:11" ht="16.5">
      <c r="A233" s="383"/>
      <c r="B233" s="393"/>
      <c r="C233" s="394"/>
      <c r="D233" s="383"/>
      <c r="E233" s="395"/>
      <c r="F233" s="395"/>
      <c r="G233" s="395"/>
      <c r="H233" s="395"/>
      <c r="I233" s="395"/>
      <c r="J233" s="395"/>
      <c r="K233" s="395"/>
    </row>
    <row r="234" spans="1:11" ht="16.5">
      <c r="A234" s="383"/>
      <c r="B234" s="393"/>
      <c r="C234" s="394"/>
      <c r="D234" s="383"/>
      <c r="E234" s="395"/>
      <c r="F234" s="395"/>
      <c r="G234" s="395"/>
      <c r="H234" s="395"/>
      <c r="I234" s="395"/>
      <c r="J234" s="395"/>
      <c r="K234" s="395"/>
    </row>
    <row r="235" spans="1:11" ht="16.5">
      <c r="A235" s="383"/>
      <c r="B235" s="393"/>
      <c r="C235" s="394"/>
      <c r="D235" s="383"/>
      <c r="E235" s="395"/>
      <c r="F235" s="395"/>
      <c r="G235" s="395"/>
      <c r="H235" s="395"/>
      <c r="I235" s="395"/>
      <c r="J235" s="395"/>
      <c r="K235" s="395"/>
    </row>
    <row r="236" spans="1:11" ht="16.5">
      <c r="A236" s="383"/>
      <c r="B236" s="393"/>
      <c r="C236" s="394"/>
      <c r="D236" s="383"/>
      <c r="E236" s="395"/>
      <c r="F236" s="395"/>
      <c r="G236" s="395"/>
      <c r="H236" s="395"/>
      <c r="I236" s="395"/>
      <c r="J236" s="395"/>
      <c r="K236" s="395"/>
    </row>
    <row r="237" spans="1:11" ht="16.5">
      <c r="A237" s="383"/>
      <c r="B237" s="393"/>
      <c r="C237" s="394"/>
      <c r="D237" s="383"/>
      <c r="E237" s="395"/>
      <c r="F237" s="395"/>
      <c r="G237" s="395"/>
      <c r="H237" s="395"/>
      <c r="I237" s="395"/>
      <c r="J237" s="395"/>
      <c r="K237" s="395"/>
    </row>
    <row r="238" spans="1:11" ht="16.5">
      <c r="A238" s="383"/>
      <c r="B238" s="393"/>
      <c r="C238" s="394"/>
      <c r="D238" s="383"/>
      <c r="E238" s="395"/>
      <c r="F238" s="395"/>
      <c r="G238" s="395"/>
      <c r="H238" s="395"/>
      <c r="I238" s="395"/>
      <c r="J238" s="395"/>
      <c r="K238" s="395"/>
    </row>
    <row r="239" spans="1:11" ht="16.5">
      <c r="A239" s="383"/>
      <c r="B239" s="393"/>
      <c r="C239" s="394"/>
      <c r="D239" s="383"/>
      <c r="E239" s="395"/>
      <c r="F239" s="395"/>
      <c r="G239" s="395"/>
      <c r="H239" s="395"/>
      <c r="I239" s="395"/>
      <c r="J239" s="395"/>
      <c r="K239" s="395"/>
    </row>
    <row r="240" spans="1:11" ht="16.5">
      <c r="A240" s="383"/>
      <c r="B240" s="393"/>
      <c r="C240" s="394"/>
      <c r="D240" s="383"/>
      <c r="E240" s="395"/>
      <c r="F240" s="395"/>
      <c r="G240" s="395"/>
      <c r="H240" s="395"/>
      <c r="I240" s="395"/>
      <c r="J240" s="395"/>
      <c r="K240" s="395"/>
    </row>
    <row r="241" spans="1:11" ht="16.5">
      <c r="A241" s="383"/>
      <c r="B241" s="393"/>
      <c r="C241" s="394"/>
      <c r="D241" s="383"/>
      <c r="E241" s="395"/>
      <c r="F241" s="395"/>
      <c r="G241" s="395"/>
      <c r="H241" s="395"/>
      <c r="I241" s="395"/>
      <c r="J241" s="395"/>
      <c r="K241" s="395"/>
    </row>
    <row r="242" spans="1:11" ht="16.5">
      <c r="A242" s="383"/>
      <c r="B242" s="393"/>
      <c r="C242" s="394"/>
      <c r="D242" s="383"/>
      <c r="E242" s="395"/>
      <c r="F242" s="395"/>
      <c r="G242" s="395"/>
      <c r="H242" s="395"/>
      <c r="I242" s="395"/>
      <c r="J242" s="395"/>
      <c r="K242" s="395"/>
    </row>
    <row r="243" spans="1:11" ht="16.5">
      <c r="A243" s="383"/>
      <c r="B243" s="393"/>
      <c r="C243" s="394"/>
      <c r="D243" s="383"/>
      <c r="E243" s="395"/>
      <c r="F243" s="395"/>
      <c r="G243" s="395"/>
      <c r="H243" s="395"/>
      <c r="I243" s="395"/>
      <c r="J243" s="395"/>
      <c r="K243" s="395"/>
    </row>
    <row r="244" spans="1:11" ht="16.5">
      <c r="A244" s="383"/>
      <c r="B244" s="393"/>
      <c r="C244" s="394"/>
      <c r="D244" s="383"/>
      <c r="E244" s="395"/>
      <c r="F244" s="395"/>
      <c r="G244" s="395"/>
      <c r="H244" s="395"/>
      <c r="I244" s="395"/>
      <c r="J244" s="395"/>
      <c r="K244" s="395"/>
    </row>
    <row r="245" spans="1:11" ht="16.5">
      <c r="A245" s="383"/>
      <c r="B245" s="393"/>
      <c r="C245" s="394"/>
      <c r="D245" s="383"/>
      <c r="E245" s="395"/>
      <c r="F245" s="395"/>
      <c r="G245" s="395"/>
      <c r="H245" s="395"/>
      <c r="I245" s="395"/>
      <c r="J245" s="395"/>
      <c r="K245" s="395"/>
    </row>
    <row r="246" spans="1:11" ht="16.5">
      <c r="A246" s="383"/>
      <c r="B246" s="393"/>
      <c r="C246" s="394"/>
      <c r="D246" s="383"/>
      <c r="E246" s="395"/>
      <c r="F246" s="395"/>
      <c r="G246" s="395"/>
      <c r="H246" s="395"/>
      <c r="I246" s="395"/>
      <c r="J246" s="395"/>
      <c r="K246" s="395"/>
    </row>
    <row r="247" spans="1:11" ht="16.5">
      <c r="A247" s="383"/>
      <c r="B247" s="393"/>
      <c r="C247" s="394"/>
      <c r="D247" s="383"/>
      <c r="E247" s="395"/>
      <c r="F247" s="395"/>
      <c r="G247" s="395"/>
      <c r="H247" s="395"/>
      <c r="I247" s="395"/>
      <c r="J247" s="395"/>
      <c r="K247" s="395"/>
    </row>
    <row r="248" spans="1:11" ht="16.5">
      <c r="A248" s="383"/>
      <c r="B248" s="393"/>
      <c r="C248" s="394"/>
      <c r="D248" s="383"/>
      <c r="E248" s="395"/>
      <c r="F248" s="395"/>
      <c r="G248" s="395"/>
      <c r="H248" s="395"/>
      <c r="I248" s="395"/>
      <c r="J248" s="395"/>
      <c r="K248" s="395"/>
    </row>
    <row r="249" spans="1:11" ht="16.5">
      <c r="A249" s="383"/>
      <c r="B249" s="393"/>
      <c r="C249" s="394"/>
      <c r="D249" s="383"/>
      <c r="E249" s="395"/>
      <c r="F249" s="395"/>
      <c r="G249" s="395"/>
      <c r="H249" s="395"/>
      <c r="I249" s="395"/>
      <c r="J249" s="395"/>
      <c r="K249" s="395"/>
    </row>
  </sheetData>
  <sheetProtection/>
  <mergeCells count="4">
    <mergeCell ref="B21:D21"/>
    <mergeCell ref="J1:K1"/>
    <mergeCell ref="B2:K2"/>
    <mergeCell ref="A3:K3"/>
  </mergeCells>
  <printOptions horizontalCentered="1"/>
  <pageMargins left="0.42" right="0.4" top="0.75" bottom="1" header="0.45" footer="0.75"/>
  <pageSetup fitToHeight="0" horizontalDpi="600" verticalDpi="600" orientation="landscape" paperSize="9" scale="95" r:id="rId1"/>
  <headerFooter alignWithMargins="0">
    <oddFooter>&amp;R&amp;"Times New Roman,Regular"&amp;12&amp;P/&amp;N</oddFooter>
  </headerFooter>
</worksheet>
</file>

<file path=xl/worksheets/sheet6.xml><?xml version="1.0" encoding="utf-8"?>
<worksheet xmlns="http://schemas.openxmlformats.org/spreadsheetml/2006/main" xmlns:r="http://schemas.openxmlformats.org/officeDocument/2006/relationships">
  <sheetPr>
    <tabColor theme="6" tint="-0.24997000396251678"/>
    <pageSetUpPr fitToPage="1"/>
  </sheetPr>
  <dimension ref="A1:K60"/>
  <sheetViews>
    <sheetView zoomScale="70" zoomScaleNormal="70" zoomScaleSheetLayoutView="85" zoomScalePageLayoutView="0" workbookViewId="0" topLeftCell="A7">
      <selection activeCell="G13" sqref="G13"/>
    </sheetView>
  </sheetViews>
  <sheetFormatPr defaultColWidth="9.140625" defaultRowHeight="12.75"/>
  <cols>
    <col min="1" max="1" width="6.421875" style="602" customWidth="1"/>
    <col min="2" max="2" width="33.140625" style="585" customWidth="1"/>
    <col min="3" max="3" width="13.140625" style="586" customWidth="1"/>
    <col min="4" max="4" width="14.8515625" style="603" customWidth="1"/>
    <col min="5" max="5" width="14.57421875" style="584" customWidth="1"/>
    <col min="6" max="6" width="13.7109375" style="584" customWidth="1"/>
    <col min="7" max="7" width="14.8515625" style="584" customWidth="1"/>
    <col min="8" max="8" width="14.28125" style="584" customWidth="1"/>
    <col min="9" max="9" width="13.57421875" style="584" customWidth="1"/>
    <col min="10" max="10" width="15.8515625" style="584" customWidth="1"/>
    <col min="11" max="11" width="19.57421875" style="584" customWidth="1"/>
    <col min="12" max="16384" width="9.140625" style="584" customWidth="1"/>
  </cols>
  <sheetData>
    <row r="1" spans="1:11" ht="36.75" customHeight="1">
      <c r="A1" s="584"/>
      <c r="B1" s="779" t="s">
        <v>549</v>
      </c>
      <c r="D1" s="586"/>
      <c r="I1" s="1055" t="s">
        <v>357</v>
      </c>
      <c r="J1" s="1306" t="s">
        <v>358</v>
      </c>
      <c r="K1" s="1306"/>
    </row>
    <row r="2" spans="1:11" ht="21.75" customHeight="1">
      <c r="A2" s="584"/>
      <c r="B2" s="1307" t="s">
        <v>463</v>
      </c>
      <c r="C2" s="1307"/>
      <c r="D2" s="1307"/>
      <c r="E2" s="1307"/>
      <c r="F2" s="1307"/>
      <c r="G2" s="1307"/>
      <c r="H2" s="1307"/>
      <c r="I2" s="1307"/>
      <c r="J2" s="1307"/>
      <c r="K2" s="1307"/>
    </row>
    <row r="3" spans="1:11" ht="28.5" customHeight="1">
      <c r="A3" s="1308" t="s">
        <v>550</v>
      </c>
      <c r="B3" s="1308"/>
      <c r="C3" s="1308"/>
      <c r="D3" s="1308"/>
      <c r="E3" s="1308"/>
      <c r="F3" s="1308"/>
      <c r="G3" s="1308"/>
      <c r="H3" s="1308"/>
      <c r="I3" s="1308"/>
      <c r="J3" s="1308"/>
      <c r="K3" s="1308"/>
    </row>
    <row r="5" spans="1:11" s="589" customFormat="1" ht="89.25" customHeight="1">
      <c r="A5" s="587" t="s">
        <v>0</v>
      </c>
      <c r="B5" s="588" t="s">
        <v>287</v>
      </c>
      <c r="C5" s="588" t="s">
        <v>184</v>
      </c>
      <c r="D5" s="439" t="s">
        <v>297</v>
      </c>
      <c r="E5" s="439" t="s">
        <v>298</v>
      </c>
      <c r="F5" s="439" t="s">
        <v>299</v>
      </c>
      <c r="G5" s="439" t="s">
        <v>300</v>
      </c>
      <c r="H5" s="439" t="s">
        <v>799</v>
      </c>
      <c r="I5" s="439" t="s">
        <v>301</v>
      </c>
      <c r="J5" s="439" t="s">
        <v>302</v>
      </c>
      <c r="K5" s="439" t="s">
        <v>408</v>
      </c>
    </row>
    <row r="6" spans="1:11" s="953" customFormat="1" ht="62.25" customHeight="1">
      <c r="A6" s="590" t="s">
        <v>101</v>
      </c>
      <c r="B6" s="591" t="s">
        <v>551</v>
      </c>
      <c r="C6" s="592" t="s">
        <v>359</v>
      </c>
      <c r="D6" s="592"/>
      <c r="E6" s="592">
        <v>448.2</v>
      </c>
      <c r="F6" s="592">
        <v>511</v>
      </c>
      <c r="G6" s="593">
        <v>542.2</v>
      </c>
      <c r="H6" s="593">
        <v>615.6783194999999</v>
      </c>
      <c r="I6" s="593">
        <v>704.9516758274999</v>
      </c>
      <c r="J6" s="594">
        <f>SUM(E6:I6)</f>
        <v>2822.0299953275</v>
      </c>
      <c r="K6" s="592"/>
    </row>
    <row r="7" spans="1:11" s="953" customFormat="1" ht="34.5" customHeight="1">
      <c r="A7" s="972" t="s">
        <v>102</v>
      </c>
      <c r="B7" s="973" t="s">
        <v>552</v>
      </c>
      <c r="C7" s="974"/>
      <c r="D7" s="595"/>
      <c r="E7" s="596"/>
      <c r="F7" s="596"/>
      <c r="G7" s="596"/>
      <c r="H7" s="596"/>
      <c r="I7" s="596"/>
      <c r="J7" s="597"/>
      <c r="K7" s="598"/>
    </row>
    <row r="8" spans="1:11" s="953" customFormat="1" ht="27.75" customHeight="1">
      <c r="A8" s="552">
        <v>1</v>
      </c>
      <c r="B8" s="454" t="s">
        <v>553</v>
      </c>
      <c r="C8" s="552" t="s">
        <v>554</v>
      </c>
      <c r="D8" s="599">
        <v>250</v>
      </c>
      <c r="E8" s="1114">
        <v>75</v>
      </c>
      <c r="F8" s="1114">
        <v>101</v>
      </c>
      <c r="G8" s="1115">
        <v>100</v>
      </c>
      <c r="H8" s="1115">
        <v>129</v>
      </c>
      <c r="I8" s="1115">
        <v>220</v>
      </c>
      <c r="J8" s="599">
        <f aca="true" t="shared" si="0" ref="J8:J15">SUM(E8:I8)</f>
        <v>625</v>
      </c>
      <c r="K8" s="601" t="s">
        <v>36</v>
      </c>
    </row>
    <row r="9" spans="1:11" s="953" customFormat="1" ht="27.75" customHeight="1">
      <c r="A9" s="552">
        <v>2</v>
      </c>
      <c r="B9" s="454" t="s">
        <v>555</v>
      </c>
      <c r="C9" s="552" t="s">
        <v>556</v>
      </c>
      <c r="D9" s="599">
        <v>35000</v>
      </c>
      <c r="E9" s="1114">
        <v>14484</v>
      </c>
      <c r="F9" s="1114">
        <v>15427</v>
      </c>
      <c r="G9" s="1116">
        <v>13061</v>
      </c>
      <c r="H9" s="1116">
        <v>12801</v>
      </c>
      <c r="I9" s="1116">
        <v>12000</v>
      </c>
      <c r="J9" s="599">
        <f t="shared" si="0"/>
        <v>67773</v>
      </c>
      <c r="K9" s="601" t="s">
        <v>42</v>
      </c>
    </row>
    <row r="10" spans="1:11" s="953" customFormat="1" ht="27.75" customHeight="1">
      <c r="A10" s="552">
        <v>3</v>
      </c>
      <c r="B10" s="454" t="s">
        <v>557</v>
      </c>
      <c r="C10" s="552" t="s">
        <v>558</v>
      </c>
      <c r="D10" s="599">
        <v>1150</v>
      </c>
      <c r="E10" s="1114">
        <v>464.482</v>
      </c>
      <c r="F10" s="1114">
        <v>449.775</v>
      </c>
      <c r="G10" s="1115">
        <v>519.288</v>
      </c>
      <c r="H10" s="1115">
        <v>573.4</v>
      </c>
      <c r="I10" s="1115">
        <v>607</v>
      </c>
      <c r="J10" s="599">
        <f t="shared" si="0"/>
        <v>2613.945</v>
      </c>
      <c r="K10" s="601" t="s">
        <v>42</v>
      </c>
    </row>
    <row r="11" spans="1:11" s="953" customFormat="1" ht="27.75" customHeight="1">
      <c r="A11" s="552">
        <v>4</v>
      </c>
      <c r="B11" s="454" t="s">
        <v>559</v>
      </c>
      <c r="C11" s="552" t="s">
        <v>560</v>
      </c>
      <c r="D11" s="599">
        <v>140</v>
      </c>
      <c r="E11" s="1117">
        <v>69.822</v>
      </c>
      <c r="F11" s="1117">
        <v>73.327</v>
      </c>
      <c r="G11" s="1115">
        <v>78.461</v>
      </c>
      <c r="H11" s="1115">
        <v>87.97</v>
      </c>
      <c r="I11" s="1115">
        <v>93.937</v>
      </c>
      <c r="J11" s="599">
        <f t="shared" si="0"/>
        <v>403.51700000000005</v>
      </c>
      <c r="K11" s="601" t="s">
        <v>42</v>
      </c>
    </row>
    <row r="12" spans="1:11" s="953" customFormat="1" ht="27.75" customHeight="1">
      <c r="A12" s="552">
        <v>5</v>
      </c>
      <c r="B12" s="454" t="s">
        <v>561</v>
      </c>
      <c r="C12" s="552" t="s">
        <v>562</v>
      </c>
      <c r="D12" s="599">
        <v>6.3</v>
      </c>
      <c r="E12" s="1117">
        <v>4.772</v>
      </c>
      <c r="F12" s="1117">
        <v>5.64</v>
      </c>
      <c r="G12" s="1115">
        <v>5.752</v>
      </c>
      <c r="H12" s="1115">
        <v>6.423</v>
      </c>
      <c r="I12" s="1115">
        <v>7.25</v>
      </c>
      <c r="J12" s="599">
        <f t="shared" si="0"/>
        <v>29.836999999999996</v>
      </c>
      <c r="K12" s="601" t="s">
        <v>36</v>
      </c>
    </row>
    <row r="13" spans="1:11" s="953" customFormat="1" ht="27.75" customHeight="1">
      <c r="A13" s="552">
        <v>6</v>
      </c>
      <c r="B13" s="454" t="s">
        <v>563</v>
      </c>
      <c r="C13" s="552" t="s">
        <v>564</v>
      </c>
      <c r="D13" s="599">
        <v>1000</v>
      </c>
      <c r="E13" s="1117">
        <v>1103</v>
      </c>
      <c r="F13" s="1117">
        <v>1441</v>
      </c>
      <c r="G13" s="1115">
        <v>1447</v>
      </c>
      <c r="H13" s="1115">
        <v>1961</v>
      </c>
      <c r="I13" s="1115">
        <v>2103</v>
      </c>
      <c r="J13" s="599">
        <f t="shared" si="0"/>
        <v>8055</v>
      </c>
      <c r="K13" s="601" t="s">
        <v>36</v>
      </c>
    </row>
    <row r="14" spans="1:11" s="953" customFormat="1" ht="27.75" customHeight="1">
      <c r="A14" s="552">
        <v>7</v>
      </c>
      <c r="B14" s="454" t="s">
        <v>565</v>
      </c>
      <c r="C14" s="552" t="s">
        <v>566</v>
      </c>
      <c r="D14" s="599">
        <v>250</v>
      </c>
      <c r="E14" s="1117">
        <v>163.944</v>
      </c>
      <c r="F14" s="1117">
        <v>230.05</v>
      </c>
      <c r="G14" s="1115">
        <v>350.1</v>
      </c>
      <c r="H14" s="1115">
        <v>366.828</v>
      </c>
      <c r="I14" s="1115">
        <v>365</v>
      </c>
      <c r="J14" s="599">
        <f t="shared" si="0"/>
        <v>1475.922</v>
      </c>
      <c r="K14" s="601" t="s">
        <v>36</v>
      </c>
    </row>
    <row r="15" spans="1:11" s="953" customFormat="1" ht="34.5" customHeight="1">
      <c r="A15" s="552">
        <v>8</v>
      </c>
      <c r="B15" s="454" t="s">
        <v>567</v>
      </c>
      <c r="C15" s="552" t="s">
        <v>556</v>
      </c>
      <c r="D15" s="599">
        <v>1900</v>
      </c>
      <c r="E15" s="1117">
        <v>2300</v>
      </c>
      <c r="F15" s="1117">
        <v>2005</v>
      </c>
      <c r="G15" s="1115">
        <v>2044</v>
      </c>
      <c r="H15" s="1115">
        <v>1781</v>
      </c>
      <c r="I15" s="1115">
        <v>1550</v>
      </c>
      <c r="J15" s="599">
        <f t="shared" si="0"/>
        <v>9680</v>
      </c>
      <c r="K15" s="601" t="s">
        <v>36</v>
      </c>
    </row>
    <row r="16" spans="1:11" s="953" customFormat="1" ht="24" customHeight="1">
      <c r="A16" s="552"/>
      <c r="B16" s="454" t="s">
        <v>568</v>
      </c>
      <c r="C16" s="552" t="s">
        <v>569</v>
      </c>
      <c r="D16" s="600">
        <v>1</v>
      </c>
      <c r="E16" s="1111">
        <v>102</v>
      </c>
      <c r="F16" s="1111">
        <v>102</v>
      </c>
      <c r="G16" s="1111">
        <v>125</v>
      </c>
      <c r="H16" s="1111">
        <v>128</v>
      </c>
      <c r="I16" s="1111">
        <v>130</v>
      </c>
      <c r="J16" s="599">
        <v>130</v>
      </c>
      <c r="K16" s="601" t="s">
        <v>36</v>
      </c>
    </row>
    <row r="17" spans="1:11" s="953" customFormat="1" ht="29.25" customHeight="1">
      <c r="A17" s="552"/>
      <c r="B17" s="454" t="s">
        <v>570</v>
      </c>
      <c r="C17" s="552" t="s">
        <v>5</v>
      </c>
      <c r="D17" s="552" t="s">
        <v>571</v>
      </c>
      <c r="E17" s="1112">
        <v>72.11</v>
      </c>
      <c r="F17" s="1112">
        <v>73.8</v>
      </c>
      <c r="G17" s="1112">
        <v>80.12</v>
      </c>
      <c r="H17" s="1112">
        <v>81.91</v>
      </c>
      <c r="I17" s="1113">
        <v>85.05</v>
      </c>
      <c r="J17" s="1109">
        <f>I17</f>
        <v>85.05</v>
      </c>
      <c r="K17" s="601" t="s">
        <v>36</v>
      </c>
    </row>
    <row r="19" spans="2:4" ht="16.5">
      <c r="B19" s="1305" t="s">
        <v>404</v>
      </c>
      <c r="C19" s="1305"/>
      <c r="D19" s="1305"/>
    </row>
    <row r="60" spans="2:4" ht="16.5">
      <c r="B60" s="1305"/>
      <c r="C60" s="1305"/>
      <c r="D60" s="1305"/>
    </row>
  </sheetData>
  <sheetProtection/>
  <mergeCells count="5">
    <mergeCell ref="B19:D19"/>
    <mergeCell ref="B60:D60"/>
    <mergeCell ref="J1:K1"/>
    <mergeCell ref="B2:K2"/>
    <mergeCell ref="A3:K3"/>
  </mergeCells>
  <printOptions horizontalCentered="1"/>
  <pageMargins left="0.669291338582677" right="0.511811023622047" top="0.748031496062992" bottom="0.83" header="0.511811023622047" footer="0.551181102362205"/>
  <pageSetup fitToHeight="0" fitToWidth="1" horizontalDpi="600" verticalDpi="600" orientation="landscape" paperSize="9" scale="78" r:id="rId1"/>
  <headerFooter alignWithMargins="0">
    <oddFooter>&amp;R&amp;"Times New Roman,Regular"&amp;12&amp;P/&amp;N</oddFooter>
  </headerFooter>
</worksheet>
</file>

<file path=xl/worksheets/sheet7.xml><?xml version="1.0" encoding="utf-8"?>
<worksheet xmlns="http://schemas.openxmlformats.org/spreadsheetml/2006/main" xmlns:r="http://schemas.openxmlformats.org/officeDocument/2006/relationships">
  <sheetPr>
    <tabColor theme="6" tint="-0.24997000396251678"/>
    <pageSetUpPr fitToPage="1"/>
  </sheetPr>
  <dimension ref="A1:W24"/>
  <sheetViews>
    <sheetView zoomScale="70" zoomScaleNormal="70" zoomScaleSheetLayoutView="85" workbookViewId="0" topLeftCell="A1">
      <selection activeCell="H12" sqref="H12"/>
    </sheetView>
  </sheetViews>
  <sheetFormatPr defaultColWidth="9.140625" defaultRowHeight="12.75"/>
  <cols>
    <col min="1" max="1" width="8.140625" style="786" customWidth="1"/>
    <col min="2" max="2" width="36.00390625" style="778" customWidth="1"/>
    <col min="3" max="3" width="15.8515625" style="787" customWidth="1"/>
    <col min="4" max="4" width="14.8515625" style="788" customWidth="1"/>
    <col min="5" max="10" width="12.421875" style="789" customWidth="1"/>
    <col min="11" max="11" width="15.140625" style="789" customWidth="1"/>
    <col min="12" max="12" width="7.8515625" style="789" customWidth="1"/>
    <col min="13" max="16384" width="9.140625" style="789" customWidth="1"/>
  </cols>
  <sheetData>
    <row r="1" spans="2:11" ht="30" customHeight="1">
      <c r="B1" s="779" t="s">
        <v>572</v>
      </c>
      <c r="H1" s="790"/>
      <c r="I1" s="791" t="s">
        <v>370</v>
      </c>
      <c r="J1" s="1309" t="s">
        <v>358</v>
      </c>
      <c r="K1" s="1309"/>
    </row>
    <row r="2" spans="2:11" ht="21.75" customHeight="1">
      <c r="B2" s="1310" t="s">
        <v>463</v>
      </c>
      <c r="C2" s="1310"/>
      <c r="D2" s="1310"/>
      <c r="E2" s="1310"/>
      <c r="F2" s="1310"/>
      <c r="G2" s="1310"/>
      <c r="H2" s="1310"/>
      <c r="I2" s="1310"/>
      <c r="J2" s="1310"/>
      <c r="K2" s="1310"/>
    </row>
    <row r="3" spans="1:11" ht="30" customHeight="1">
      <c r="A3" s="1311" t="s">
        <v>573</v>
      </c>
      <c r="B3" s="1311"/>
      <c r="C3" s="1311"/>
      <c r="D3" s="1311"/>
      <c r="E3" s="1311"/>
      <c r="F3" s="1311"/>
      <c r="G3" s="1311"/>
      <c r="H3" s="1311"/>
      <c r="I3" s="1311"/>
      <c r="J3" s="1311"/>
      <c r="K3" s="1311"/>
    </row>
    <row r="4" ht="17.25" customHeight="1"/>
    <row r="5" spans="1:12" s="779" customFormat="1" ht="33" customHeight="1">
      <c r="A5" s="1313" t="s">
        <v>0</v>
      </c>
      <c r="B5" s="1313" t="s">
        <v>574</v>
      </c>
      <c r="C5" s="1313" t="s">
        <v>184</v>
      </c>
      <c r="D5" s="1313" t="s">
        <v>575</v>
      </c>
      <c r="E5" s="1314" t="s">
        <v>576</v>
      </c>
      <c r="F5" s="1314"/>
      <c r="G5" s="1314"/>
      <c r="H5" s="1314"/>
      <c r="I5" s="1314"/>
      <c r="J5" s="1314"/>
      <c r="K5" s="1313" t="s">
        <v>577</v>
      </c>
      <c r="L5" s="793"/>
    </row>
    <row r="6" spans="1:12" s="779" customFormat="1" ht="56.25" customHeight="1">
      <c r="A6" s="1313"/>
      <c r="B6" s="1313"/>
      <c r="C6" s="1313"/>
      <c r="D6" s="1313"/>
      <c r="E6" s="792" t="s">
        <v>298</v>
      </c>
      <c r="F6" s="792" t="s">
        <v>299</v>
      </c>
      <c r="G6" s="792" t="s">
        <v>300</v>
      </c>
      <c r="H6" s="792" t="s">
        <v>799</v>
      </c>
      <c r="I6" s="792" t="s">
        <v>301</v>
      </c>
      <c r="J6" s="792" t="s">
        <v>578</v>
      </c>
      <c r="K6" s="1313"/>
      <c r="L6" s="793"/>
    </row>
    <row r="7" spans="1:12" s="778" customFormat="1" ht="26.25" customHeight="1">
      <c r="A7" s="794" t="s">
        <v>579</v>
      </c>
      <c r="B7" s="794" t="s">
        <v>580</v>
      </c>
      <c r="C7" s="794" t="s">
        <v>581</v>
      </c>
      <c r="D7" s="794" t="s">
        <v>582</v>
      </c>
      <c r="E7" s="794" t="s">
        <v>583</v>
      </c>
      <c r="F7" s="794" t="s">
        <v>584</v>
      </c>
      <c r="G7" s="794" t="s">
        <v>585</v>
      </c>
      <c r="H7" s="794" t="s">
        <v>586</v>
      </c>
      <c r="I7" s="794" t="s">
        <v>587</v>
      </c>
      <c r="J7" s="794" t="s">
        <v>588</v>
      </c>
      <c r="K7" s="794" t="s">
        <v>589</v>
      </c>
      <c r="L7" s="795"/>
    </row>
    <row r="8" spans="1:11" s="800" customFormat="1" ht="24.75" customHeight="1">
      <c r="A8" s="796">
        <v>1</v>
      </c>
      <c r="B8" s="797" t="s">
        <v>590</v>
      </c>
      <c r="C8" s="792" t="s">
        <v>591</v>
      </c>
      <c r="D8" s="840">
        <v>20.54</v>
      </c>
      <c r="E8" s="803">
        <v>0</v>
      </c>
      <c r="F8" s="803">
        <v>0</v>
      </c>
      <c r="G8" s="799">
        <v>0</v>
      </c>
      <c r="H8" s="799">
        <v>60</v>
      </c>
      <c r="I8" s="799">
        <v>0</v>
      </c>
      <c r="J8" s="799">
        <v>60</v>
      </c>
      <c r="K8" s="799">
        <v>80.53999999999999</v>
      </c>
    </row>
    <row r="9" spans="1:11" ht="39" customHeight="1">
      <c r="A9" s="801" t="s">
        <v>580</v>
      </c>
      <c r="B9" s="802" t="s">
        <v>592</v>
      </c>
      <c r="C9" s="792" t="s">
        <v>593</v>
      </c>
      <c r="D9" s="840">
        <v>360</v>
      </c>
      <c r="E9" s="803">
        <v>65.9</v>
      </c>
      <c r="F9" s="803">
        <v>66.2</v>
      </c>
      <c r="G9" s="803">
        <v>90.1</v>
      </c>
      <c r="H9" s="803">
        <v>0</v>
      </c>
      <c r="I9" s="803">
        <v>20</v>
      </c>
      <c r="J9" s="803">
        <f>SUM(E9:I9)</f>
        <v>242.20000000000002</v>
      </c>
      <c r="K9" s="803">
        <v>360</v>
      </c>
    </row>
    <row r="10" spans="1:11" ht="31.5" customHeight="1">
      <c r="A10" s="801" t="s">
        <v>581</v>
      </c>
      <c r="B10" s="802" t="s">
        <v>594</v>
      </c>
      <c r="C10" s="804"/>
      <c r="D10" s="841"/>
      <c r="E10" s="803"/>
      <c r="F10" s="803"/>
      <c r="G10" s="803"/>
      <c r="H10" s="803"/>
      <c r="I10" s="803"/>
      <c r="J10" s="803"/>
      <c r="K10" s="803"/>
    </row>
    <row r="11" spans="1:11" ht="30" customHeight="1">
      <c r="A11" s="806"/>
      <c r="B11" s="807" t="s">
        <v>595</v>
      </c>
      <c r="C11" s="804" t="s">
        <v>593</v>
      </c>
      <c r="D11" s="842">
        <v>12.575</v>
      </c>
      <c r="E11" s="843">
        <v>1.909</v>
      </c>
      <c r="F11" s="843">
        <v>0.943</v>
      </c>
      <c r="G11" s="843">
        <v>0</v>
      </c>
      <c r="H11" s="843">
        <v>0.98</v>
      </c>
      <c r="I11" s="843">
        <v>0</v>
      </c>
      <c r="J11" s="808">
        <f>SUM(E11:I11)</f>
        <v>3.832</v>
      </c>
      <c r="K11" s="844">
        <v>15</v>
      </c>
    </row>
    <row r="12" spans="1:11" ht="30.75" customHeight="1">
      <c r="A12" s="806"/>
      <c r="B12" s="807" t="s">
        <v>596</v>
      </c>
      <c r="C12" s="804" t="s">
        <v>597</v>
      </c>
      <c r="D12" s="841">
        <v>557</v>
      </c>
      <c r="E12" s="808">
        <v>70.9</v>
      </c>
      <c r="F12" s="808">
        <v>0</v>
      </c>
      <c r="G12" s="808">
        <v>22.9</v>
      </c>
      <c r="H12" s="808">
        <v>127.3</v>
      </c>
      <c r="I12" s="808">
        <v>50</v>
      </c>
      <c r="J12" s="808">
        <f>SUM(E12:I12)</f>
        <v>271.1</v>
      </c>
      <c r="K12" s="808">
        <v>650</v>
      </c>
    </row>
    <row r="13" spans="1:11" ht="30.75" customHeight="1">
      <c r="A13" s="806"/>
      <c r="B13" s="807" t="s">
        <v>598</v>
      </c>
      <c r="C13" s="804" t="s">
        <v>599</v>
      </c>
      <c r="D13" s="841"/>
      <c r="E13" s="808"/>
      <c r="F13" s="808"/>
      <c r="G13" s="845"/>
      <c r="H13" s="808"/>
      <c r="I13" s="808"/>
      <c r="J13" s="808">
        <f>SUM(E13:I13)</f>
        <v>0</v>
      </c>
      <c r="K13" s="846"/>
    </row>
    <row r="14" spans="1:11" ht="36" customHeight="1">
      <c r="A14" s="806"/>
      <c r="B14" s="810" t="s">
        <v>600</v>
      </c>
      <c r="C14" s="804" t="s">
        <v>601</v>
      </c>
      <c r="D14" s="841"/>
      <c r="E14" s="808"/>
      <c r="F14" s="808"/>
      <c r="G14" s="808"/>
      <c r="H14" s="845"/>
      <c r="I14" s="845"/>
      <c r="J14" s="808">
        <f>SUM(E14:I14)</f>
        <v>0</v>
      </c>
      <c r="K14" s="847"/>
    </row>
    <row r="15" spans="1:11" ht="36.75" customHeight="1">
      <c r="A15" s="801" t="s">
        <v>582</v>
      </c>
      <c r="B15" s="802" t="s">
        <v>602</v>
      </c>
      <c r="C15" s="804"/>
      <c r="D15" s="805"/>
      <c r="E15" s="798"/>
      <c r="F15" s="798"/>
      <c r="G15" s="798"/>
      <c r="H15" s="798"/>
      <c r="I15" s="798"/>
      <c r="J15" s="798"/>
      <c r="K15" s="798"/>
    </row>
    <row r="16" spans="1:11" s="818" customFormat="1" ht="41.25" customHeight="1">
      <c r="A16" s="812"/>
      <c r="B16" s="813" t="s">
        <v>603</v>
      </c>
      <c r="C16" s="814"/>
      <c r="D16" s="815"/>
      <c r="E16" s="816"/>
      <c r="F16" s="816"/>
      <c r="G16" s="816"/>
      <c r="H16" s="816"/>
      <c r="I16" s="816"/>
      <c r="J16" s="816"/>
      <c r="K16" s="817" t="s">
        <v>604</v>
      </c>
    </row>
    <row r="17" spans="1:21" s="823" customFormat="1" ht="28.5" customHeight="1">
      <c r="A17" s="819"/>
      <c r="B17" s="820" t="s">
        <v>605</v>
      </c>
      <c r="C17" s="804"/>
      <c r="D17" s="821"/>
      <c r="E17" s="809"/>
      <c r="F17" s="809"/>
      <c r="G17" s="809"/>
      <c r="H17" s="811"/>
      <c r="I17" s="811"/>
      <c r="J17" s="811"/>
      <c r="K17" s="811"/>
      <c r="L17" s="822"/>
      <c r="N17" s="824"/>
      <c r="O17" s="825"/>
      <c r="Q17" s="824"/>
      <c r="R17" s="825"/>
      <c r="T17" s="824"/>
      <c r="U17" s="825"/>
    </row>
    <row r="18" spans="1:12" s="827" customFormat="1" ht="27.75" customHeight="1">
      <c r="A18" s="801" t="s">
        <v>584</v>
      </c>
      <c r="B18" s="802" t="s">
        <v>606</v>
      </c>
      <c r="C18" s="804"/>
      <c r="D18" s="805"/>
      <c r="E18" s="798"/>
      <c r="F18" s="798"/>
      <c r="G18" s="798"/>
      <c r="H18" s="798"/>
      <c r="I18" s="798"/>
      <c r="J18" s="798"/>
      <c r="K18" s="798"/>
      <c r="L18" s="826"/>
    </row>
    <row r="19" spans="1:12" ht="6.75" customHeight="1">
      <c r="A19" s="828"/>
      <c r="B19" s="829"/>
      <c r="C19" s="830"/>
      <c r="D19" s="831"/>
      <c r="E19" s="832"/>
      <c r="F19" s="832"/>
      <c r="G19" s="832"/>
      <c r="H19" s="832"/>
      <c r="I19" s="832"/>
      <c r="J19" s="832"/>
      <c r="K19" s="832"/>
      <c r="L19" s="833"/>
    </row>
    <row r="20" spans="4:11" ht="18.75">
      <c r="D20" s="834"/>
      <c r="E20" s="835"/>
      <c r="F20" s="835"/>
      <c r="G20" s="835"/>
      <c r="H20" s="835"/>
      <c r="I20" s="835"/>
      <c r="J20" s="835"/>
      <c r="K20" s="835"/>
    </row>
    <row r="21" spans="2:11" ht="62.25" customHeight="1" hidden="1">
      <c r="B21" s="1312" t="s">
        <v>607</v>
      </c>
      <c r="C21" s="1312"/>
      <c r="D21" s="1312"/>
      <c r="E21" s="1312"/>
      <c r="F21" s="1312"/>
      <c r="G21" s="1312"/>
      <c r="H21" s="1312"/>
      <c r="I21" s="1312"/>
      <c r="J21" s="1312"/>
      <c r="K21" s="1312"/>
    </row>
    <row r="22" spans="5:11" ht="18.75">
      <c r="E22" s="836"/>
      <c r="F22" s="836"/>
      <c r="G22" s="836"/>
      <c r="H22" s="836"/>
      <c r="I22" s="836"/>
      <c r="J22" s="836"/>
      <c r="K22" s="836"/>
    </row>
    <row r="23" spans="5:11" ht="18.75">
      <c r="E23" s="836"/>
      <c r="F23" s="836"/>
      <c r="G23" s="836"/>
      <c r="H23" s="836"/>
      <c r="I23" s="836"/>
      <c r="J23" s="836"/>
      <c r="K23" s="836"/>
    </row>
    <row r="24" spans="2:23" ht="18.75">
      <c r="B24" s="837"/>
      <c r="E24" s="838"/>
      <c r="L24" s="839"/>
      <c r="N24" s="838"/>
      <c r="O24" s="839"/>
      <c r="Q24" s="838"/>
      <c r="R24" s="839"/>
      <c r="T24" s="838"/>
      <c r="U24" s="839"/>
      <c r="W24" s="838"/>
    </row>
    <row r="30" ht="12.75" customHeight="1"/>
  </sheetData>
  <sheetProtection/>
  <mergeCells count="10">
    <mergeCell ref="J1:K1"/>
    <mergeCell ref="B2:K2"/>
    <mergeCell ref="A3:K3"/>
    <mergeCell ref="B21:K21"/>
    <mergeCell ref="A5:A6"/>
    <mergeCell ref="B5:B6"/>
    <mergeCell ref="C5:C6"/>
    <mergeCell ref="D5:D6"/>
    <mergeCell ref="E5:J5"/>
    <mergeCell ref="K5:K6"/>
  </mergeCells>
  <printOptions horizontalCentered="1"/>
  <pageMargins left="0.62992125984252" right="0.393700787401575" top="0.64" bottom="0.511811023622047" header="0.275590551181102" footer="0.393700787401575"/>
  <pageSetup fitToHeight="0" fitToWidth="1" horizontalDpi="600" verticalDpi="600" orientation="landscape" paperSize="9" scale="84" r:id="rId1"/>
  <headerFooter alignWithMargins="0">
    <oddFooter>&amp;R&amp;P/&amp;N</oddFooter>
  </headerFooter>
</worksheet>
</file>

<file path=xl/worksheets/sheet8.xml><?xml version="1.0" encoding="utf-8"?>
<worksheet xmlns="http://schemas.openxmlformats.org/spreadsheetml/2006/main" xmlns:r="http://schemas.openxmlformats.org/officeDocument/2006/relationships">
  <sheetPr>
    <tabColor theme="6" tint="-0.24997000396251678"/>
    <pageSetUpPr fitToPage="1"/>
  </sheetPr>
  <dimension ref="A1:X248"/>
  <sheetViews>
    <sheetView view="pageBreakPreview" zoomScale="85" zoomScaleNormal="85" zoomScaleSheetLayoutView="85" zoomScalePageLayoutView="0" workbookViewId="0" topLeftCell="A7">
      <selection activeCell="F5" sqref="F5"/>
    </sheetView>
  </sheetViews>
  <sheetFormatPr defaultColWidth="9.140625" defaultRowHeight="12.75"/>
  <cols>
    <col min="1" max="1" width="5.421875" style="435" customWidth="1"/>
    <col min="2" max="2" width="39.28125" style="436" customWidth="1"/>
    <col min="3" max="3" width="12.8515625" style="437" customWidth="1"/>
    <col min="4" max="4" width="16.140625" style="435" customWidth="1"/>
    <col min="5" max="5" width="16.140625" style="435" hidden="1" customWidth="1"/>
    <col min="6" max="6" width="11.57421875" style="438" customWidth="1"/>
    <col min="7" max="7" width="12.8515625" style="438" customWidth="1"/>
    <col min="8" max="8" width="12.57421875" style="438" customWidth="1"/>
    <col min="9" max="9" width="14.421875" style="438" customWidth="1"/>
    <col min="10" max="10" width="14.8515625" style="438" customWidth="1"/>
    <col min="11" max="11" width="16.57421875" style="438" customWidth="1"/>
    <col min="12" max="12" width="19.00390625" style="438" customWidth="1"/>
    <col min="13" max="16" width="9.140625" style="438" customWidth="1"/>
    <col min="17" max="17" width="10.140625" style="438" bestFit="1" customWidth="1"/>
    <col min="18" max="16384" width="9.140625" style="438" customWidth="1"/>
  </cols>
  <sheetData>
    <row r="1" spans="1:12" ht="22.5" customHeight="1">
      <c r="A1" s="438"/>
      <c r="B1" s="779" t="s">
        <v>608</v>
      </c>
      <c r="D1" s="437"/>
      <c r="E1" s="437"/>
      <c r="J1" s="924" t="s">
        <v>357</v>
      </c>
      <c r="K1" s="1316" t="s">
        <v>358</v>
      </c>
      <c r="L1" s="1316"/>
    </row>
    <row r="2" spans="1:12" ht="25.5" customHeight="1">
      <c r="A2" s="438"/>
      <c r="B2" s="1317" t="s">
        <v>463</v>
      </c>
      <c r="C2" s="1317"/>
      <c r="D2" s="1317"/>
      <c r="E2" s="1317"/>
      <c r="F2" s="1317"/>
      <c r="G2" s="1317"/>
      <c r="H2" s="1317"/>
      <c r="I2" s="1317"/>
      <c r="J2" s="1317"/>
      <c r="K2" s="1317"/>
      <c r="L2" s="1317"/>
    </row>
    <row r="3" spans="1:12" ht="27" customHeight="1">
      <c r="A3" s="1308" t="s">
        <v>609</v>
      </c>
      <c r="B3" s="1308"/>
      <c r="C3" s="1308"/>
      <c r="D3" s="1308"/>
      <c r="E3" s="1308"/>
      <c r="F3" s="1308"/>
      <c r="G3" s="1308"/>
      <c r="H3" s="1308"/>
      <c r="I3" s="1308"/>
      <c r="J3" s="1308"/>
      <c r="K3" s="1308"/>
      <c r="L3" s="1308"/>
    </row>
    <row r="4" spans="1:12" ht="14.25" customHeight="1">
      <c r="A4" s="976"/>
      <c r="B4" s="977"/>
      <c r="C4" s="978"/>
      <c r="D4" s="976"/>
      <c r="E4" s="976"/>
      <c r="F4" s="979"/>
      <c r="G4" s="979"/>
      <c r="H4" s="979"/>
      <c r="I4" s="979"/>
      <c r="J4" s="979"/>
      <c r="K4" s="979"/>
      <c r="L4" s="979"/>
    </row>
    <row r="5" spans="1:12" s="604" customFormat="1" ht="91.5" customHeight="1">
      <c r="A5" s="588" t="s">
        <v>0</v>
      </c>
      <c r="B5" s="588" t="s">
        <v>287</v>
      </c>
      <c r="C5" s="588" t="s">
        <v>184</v>
      </c>
      <c r="D5" s="439" t="s">
        <v>297</v>
      </c>
      <c r="E5" s="439"/>
      <c r="F5" s="439" t="s">
        <v>298</v>
      </c>
      <c r="G5" s="439" t="s">
        <v>299</v>
      </c>
      <c r="H5" s="439" t="s">
        <v>300</v>
      </c>
      <c r="I5" s="439" t="s">
        <v>799</v>
      </c>
      <c r="J5" s="439" t="s">
        <v>301</v>
      </c>
      <c r="K5" s="439" t="s">
        <v>302</v>
      </c>
      <c r="L5" s="439" t="s">
        <v>409</v>
      </c>
    </row>
    <row r="6" spans="1:24" s="443" customFormat="1" ht="27.75" customHeight="1">
      <c r="A6" s="441" t="s">
        <v>610</v>
      </c>
      <c r="B6" s="442" t="s">
        <v>611</v>
      </c>
      <c r="C6" s="439"/>
      <c r="D6" s="611"/>
      <c r="E6" s="611"/>
      <c r="F6" s="612"/>
      <c r="G6" s="605"/>
      <c r="H6" s="605"/>
      <c r="I6" s="605"/>
      <c r="J6" s="605"/>
      <c r="K6" s="605"/>
      <c r="L6" s="613" t="s">
        <v>518</v>
      </c>
      <c r="M6" s="614"/>
      <c r="O6" s="615"/>
      <c r="P6" s="614"/>
      <c r="R6" s="615"/>
      <c r="S6" s="614"/>
      <c r="U6" s="615"/>
      <c r="V6" s="614"/>
      <c r="X6" s="615"/>
    </row>
    <row r="7" spans="1:24" ht="45" customHeight="1">
      <c r="A7" s="616"/>
      <c r="B7" s="470" t="s">
        <v>612</v>
      </c>
      <c r="C7" s="472" t="s">
        <v>291</v>
      </c>
      <c r="D7" s="617">
        <v>113.53</v>
      </c>
      <c r="E7" s="773"/>
      <c r="F7" s="975" t="s">
        <v>613</v>
      </c>
      <c r="G7" s="975" t="s">
        <v>614</v>
      </c>
      <c r="H7" s="975" t="s">
        <v>615</v>
      </c>
      <c r="I7" s="975" t="s">
        <v>616</v>
      </c>
      <c r="J7" s="975" t="s">
        <v>617</v>
      </c>
      <c r="K7" s="975">
        <v>117.67</v>
      </c>
      <c r="L7" s="618" t="str">
        <f>IF(K7&gt;D7,"Đạt","Không đạt")</f>
        <v>Đạt</v>
      </c>
      <c r="M7" s="609"/>
      <c r="O7" s="610"/>
      <c r="P7" s="609"/>
      <c r="R7" s="610"/>
      <c r="S7" s="609"/>
      <c r="U7" s="610"/>
      <c r="V7" s="609"/>
      <c r="X7" s="610"/>
    </row>
    <row r="8" spans="1:24" s="443" customFormat="1" ht="25.5" customHeight="1">
      <c r="A8" s="441" t="s">
        <v>618</v>
      </c>
      <c r="B8" s="442" t="s">
        <v>619</v>
      </c>
      <c r="C8" s="439"/>
      <c r="D8" s="611"/>
      <c r="E8" s="611"/>
      <c r="F8" s="612"/>
      <c r="G8" s="605"/>
      <c r="H8" s="605"/>
      <c r="I8" s="605"/>
      <c r="J8" s="605"/>
      <c r="K8" s="605"/>
      <c r="L8" s="441"/>
      <c r="M8" s="614"/>
      <c r="N8" s="619"/>
      <c r="O8" s="620"/>
      <c r="P8" s="621"/>
      <c r="Q8" s="619"/>
      <c r="R8" s="620"/>
      <c r="S8" s="621"/>
      <c r="T8" s="619"/>
      <c r="U8" s="615"/>
      <c r="V8" s="614"/>
      <c r="X8" s="615"/>
    </row>
    <row r="9" spans="1:20" ht="40.5" customHeight="1">
      <c r="A9" s="616"/>
      <c r="B9" s="622" t="s">
        <v>620</v>
      </c>
      <c r="C9" s="472" t="s">
        <v>291</v>
      </c>
      <c r="D9" s="623">
        <v>105.25297430669893</v>
      </c>
      <c r="E9" s="623"/>
      <c r="F9" s="623">
        <v>105.0001254107201</v>
      </c>
      <c r="G9" s="623">
        <v>105.00089578978799</v>
      </c>
      <c r="H9" s="623">
        <v>103.79242879242878</v>
      </c>
      <c r="I9" s="623">
        <v>110.85965412182452</v>
      </c>
      <c r="J9" s="623">
        <v>108.94172309821562</v>
      </c>
      <c r="K9" s="623">
        <v>106.68497289670687</v>
      </c>
      <c r="L9" s="618" t="str">
        <f>IF(K9&gt;D9,"Đạt","Không đạt")</f>
        <v>Đạt</v>
      </c>
      <c r="N9" s="980"/>
      <c r="O9" s="980"/>
      <c r="P9" s="980"/>
      <c r="Q9" s="980"/>
      <c r="R9" s="980"/>
      <c r="S9" s="980"/>
      <c r="T9" s="980"/>
    </row>
    <row r="10" spans="1:20" ht="33.75" customHeight="1">
      <c r="A10" s="981"/>
      <c r="B10" s="982" t="s">
        <v>621</v>
      </c>
      <c r="C10" s="983" t="s">
        <v>291</v>
      </c>
      <c r="D10" s="984">
        <v>104.81860581357701</v>
      </c>
      <c r="E10" s="984"/>
      <c r="F10" s="984">
        <v>105.00056824639164</v>
      </c>
      <c r="G10" s="984">
        <v>105.00054118411084</v>
      </c>
      <c r="H10" s="984">
        <v>102.94127753152596</v>
      </c>
      <c r="I10" s="984">
        <v>113.41945102751538</v>
      </c>
      <c r="J10" s="984">
        <v>103.1999843041849</v>
      </c>
      <c r="K10" s="984">
        <v>105.8444236797081</v>
      </c>
      <c r="L10" s="985" t="str">
        <f>IF(K10&gt;D10,"Đạt","Không đạt")</f>
        <v>Đạt</v>
      </c>
      <c r="N10" s="980"/>
      <c r="O10" s="980"/>
      <c r="P10" s="980"/>
      <c r="Q10" s="980"/>
      <c r="R10" s="980"/>
      <c r="S10" s="980"/>
      <c r="T10" s="980"/>
    </row>
    <row r="11" spans="1:20" ht="33.75" customHeight="1">
      <c r="A11" s="981"/>
      <c r="B11" s="982" t="s">
        <v>622</v>
      </c>
      <c r="C11" s="983" t="s">
        <v>291</v>
      </c>
      <c r="D11" s="984">
        <v>105.62220298597018</v>
      </c>
      <c r="E11" s="984"/>
      <c r="F11" s="984">
        <v>105.07065669160431</v>
      </c>
      <c r="G11" s="984">
        <v>105</v>
      </c>
      <c r="H11" s="984">
        <v>104.08438818565399</v>
      </c>
      <c r="I11" s="984">
        <v>112.35992552526118</v>
      </c>
      <c r="J11" s="984">
        <v>110.02809652939247</v>
      </c>
      <c r="K11" s="984">
        <v>107.2591315764735</v>
      </c>
      <c r="L11" s="985" t="str">
        <f>IF(K11&gt;D11,"Đạt","Không đạt")</f>
        <v>Đạt</v>
      </c>
      <c r="N11" s="980"/>
      <c r="O11" s="980"/>
      <c r="P11" s="980"/>
      <c r="Q11" s="980"/>
      <c r="R11" s="980"/>
      <c r="S11" s="980"/>
      <c r="T11" s="980"/>
    </row>
    <row r="12" spans="1:20" ht="43.5" customHeight="1">
      <c r="A12" s="981"/>
      <c r="B12" s="982" t="s">
        <v>623</v>
      </c>
      <c r="C12" s="983" t="s">
        <v>291</v>
      </c>
      <c r="D12" s="984">
        <v>106.37809136975469</v>
      </c>
      <c r="E12" s="984"/>
      <c r="F12" s="984">
        <v>105.01022948244521</v>
      </c>
      <c r="G12" s="984">
        <v>105.00009047754047</v>
      </c>
      <c r="H12" s="984">
        <v>109.11495807877571</v>
      </c>
      <c r="I12" s="984">
        <v>114.47983216061618</v>
      </c>
      <c r="J12" s="984">
        <v>105.84648213127797</v>
      </c>
      <c r="K12" s="984">
        <v>107.8306434423619</v>
      </c>
      <c r="L12" s="985" t="str">
        <f>IF(K12&gt;D12,"Đạt","Không đạt")</f>
        <v>Đạt</v>
      </c>
      <c r="N12" s="980"/>
      <c r="O12" s="980"/>
      <c r="P12" s="980"/>
      <c r="Q12" s="980"/>
      <c r="R12" s="980"/>
      <c r="S12" s="980"/>
      <c r="T12" s="980"/>
    </row>
    <row r="13" spans="1:12" s="443" customFormat="1" ht="27" customHeight="1">
      <c r="A13" s="441" t="s">
        <v>624</v>
      </c>
      <c r="B13" s="450" t="s">
        <v>625</v>
      </c>
      <c r="C13" s="439"/>
      <c r="D13" s="611"/>
      <c r="E13" s="611"/>
      <c r="F13" s="605"/>
      <c r="G13" s="605"/>
      <c r="H13" s="605"/>
      <c r="I13" s="605"/>
      <c r="J13" s="605"/>
      <c r="K13" s="605"/>
      <c r="L13" s="441"/>
    </row>
    <row r="14" spans="1:12" ht="38.25" customHeight="1">
      <c r="A14" s="616"/>
      <c r="B14" s="622" t="s">
        <v>626</v>
      </c>
      <c r="C14" s="472" t="s">
        <v>295</v>
      </c>
      <c r="D14" s="562">
        <v>85</v>
      </c>
      <c r="E14" s="562"/>
      <c r="F14" s="561">
        <v>71</v>
      </c>
      <c r="G14" s="561">
        <v>70.5</v>
      </c>
      <c r="H14" s="561">
        <v>70</v>
      </c>
      <c r="I14" s="561">
        <v>73.4</v>
      </c>
      <c r="J14" s="562">
        <v>77.5</v>
      </c>
      <c r="K14" s="562">
        <v>77.5</v>
      </c>
      <c r="L14" s="407" t="s">
        <v>627</v>
      </c>
    </row>
    <row r="15" spans="1:12" ht="42" customHeight="1">
      <c r="A15" s="986"/>
      <c r="B15" s="982" t="s">
        <v>628</v>
      </c>
      <c r="C15" s="983" t="s">
        <v>295</v>
      </c>
      <c r="D15" s="987">
        <v>3</v>
      </c>
      <c r="E15" s="987"/>
      <c r="F15" s="988">
        <v>2.9</v>
      </c>
      <c r="G15" s="988">
        <v>3.07</v>
      </c>
      <c r="H15" s="988">
        <v>2.8</v>
      </c>
      <c r="I15" s="988">
        <v>3.1</v>
      </c>
      <c r="J15" s="987">
        <v>3.3</v>
      </c>
      <c r="K15" s="987">
        <v>3.3</v>
      </c>
      <c r="L15" s="989" t="s">
        <v>629</v>
      </c>
    </row>
    <row r="16" spans="1:12" s="443" customFormat="1" ht="27.75" customHeight="1">
      <c r="A16" s="441" t="s">
        <v>630</v>
      </c>
      <c r="B16" s="450" t="s">
        <v>631</v>
      </c>
      <c r="C16" s="439"/>
      <c r="D16" s="611"/>
      <c r="E16" s="611"/>
      <c r="F16" s="605"/>
      <c r="G16" s="605"/>
      <c r="H16" s="605"/>
      <c r="I16" s="605"/>
      <c r="J16" s="605"/>
      <c r="K16" s="605"/>
      <c r="L16" s="441"/>
    </row>
    <row r="17" spans="1:14" s="363" customFormat="1" ht="39" customHeight="1">
      <c r="A17" s="387"/>
      <c r="B17" s="417" t="s">
        <v>632</v>
      </c>
      <c r="C17" s="392" t="s">
        <v>715</v>
      </c>
      <c r="D17" s="990">
        <v>311</v>
      </c>
      <c r="E17" s="990">
        <v>52</v>
      </c>
      <c r="F17" s="410">
        <v>64</v>
      </c>
      <c r="G17" s="410">
        <v>58</v>
      </c>
      <c r="H17" s="410">
        <v>66.8</v>
      </c>
      <c r="I17" s="410">
        <v>75</v>
      </c>
      <c r="J17" s="410">
        <v>70</v>
      </c>
      <c r="K17" s="1110">
        <f>SUM(F17:J17)</f>
        <v>333.8</v>
      </c>
      <c r="L17" s="991" t="s">
        <v>723</v>
      </c>
      <c r="N17" s="992"/>
    </row>
    <row r="18" spans="1:12" s="443" customFormat="1" ht="39.75" customHeight="1">
      <c r="A18" s="441"/>
      <c r="B18" s="622" t="s">
        <v>633</v>
      </c>
      <c r="C18" s="392" t="s">
        <v>715</v>
      </c>
      <c r="D18" s="407">
        <v>1544</v>
      </c>
      <c r="E18" s="407"/>
      <c r="F18" s="993">
        <v>289</v>
      </c>
      <c r="G18" s="993">
        <v>302</v>
      </c>
      <c r="H18" s="1120">
        <v>313.8</v>
      </c>
      <c r="I18" s="1120">
        <v>365</v>
      </c>
      <c r="J18" s="1120">
        <v>330</v>
      </c>
      <c r="K18" s="1108">
        <f>SUM(F18:J18)</f>
        <v>1599.8</v>
      </c>
      <c r="L18" s="994" t="s">
        <v>629</v>
      </c>
    </row>
    <row r="19" spans="1:12" ht="16.5">
      <c r="A19" s="603"/>
      <c r="B19" s="585"/>
      <c r="C19" s="586"/>
      <c r="D19" s="606"/>
      <c r="E19" s="606"/>
      <c r="F19" s="607"/>
      <c r="G19" s="607"/>
      <c r="H19" s="607"/>
      <c r="I19" s="607"/>
      <c r="J19" s="607"/>
      <c r="K19" s="607"/>
      <c r="L19" s="584"/>
    </row>
    <row r="20" spans="1:12" ht="28.5" customHeight="1">
      <c r="A20" s="976"/>
      <c r="B20" s="1315" t="s">
        <v>404</v>
      </c>
      <c r="C20" s="1315"/>
      <c r="D20" s="1315"/>
      <c r="E20" s="995"/>
      <c r="F20" s="996"/>
      <c r="G20" s="996"/>
      <c r="H20" s="996"/>
      <c r="I20" s="996"/>
      <c r="J20" s="996"/>
      <c r="K20" s="996"/>
      <c r="L20" s="979"/>
    </row>
    <row r="21" spans="1:12" ht="16.5">
      <c r="A21" s="976"/>
      <c r="B21" s="977"/>
      <c r="C21" s="978"/>
      <c r="D21" s="976"/>
      <c r="E21" s="976"/>
      <c r="F21" s="979"/>
      <c r="G21" s="979"/>
      <c r="H21" s="979"/>
      <c r="I21" s="979"/>
      <c r="J21" s="979"/>
      <c r="K21" s="979"/>
      <c r="L21" s="979"/>
    </row>
    <row r="22" spans="1:12" ht="16.5">
      <c r="A22" s="976"/>
      <c r="B22" s="977"/>
      <c r="C22" s="978"/>
      <c r="D22" s="976"/>
      <c r="E22" s="976"/>
      <c r="F22" s="979"/>
      <c r="G22" s="979"/>
      <c r="H22" s="979"/>
      <c r="I22" s="979"/>
      <c r="J22" s="979"/>
      <c r="K22" s="979"/>
      <c r="L22" s="979"/>
    </row>
    <row r="23" spans="1:12" ht="16.5">
      <c r="A23" s="976"/>
      <c r="B23" s="977"/>
      <c r="C23" s="978"/>
      <c r="D23" s="976"/>
      <c r="E23" s="976"/>
      <c r="F23" s="979"/>
      <c r="G23" s="979"/>
      <c r="H23" s="979"/>
      <c r="I23" s="979"/>
      <c r="J23" s="979"/>
      <c r="K23" s="979"/>
      <c r="L23" s="979"/>
    </row>
    <row r="24" spans="1:12" ht="16.5">
      <c r="A24" s="976"/>
      <c r="B24" s="977"/>
      <c r="C24" s="978"/>
      <c r="D24" s="976"/>
      <c r="E24" s="976"/>
      <c r="F24" s="979"/>
      <c r="G24" s="979"/>
      <c r="H24" s="979"/>
      <c r="I24" s="979"/>
      <c r="J24" s="979"/>
      <c r="K24" s="979"/>
      <c r="L24" s="979"/>
    </row>
    <row r="25" spans="1:12" ht="16.5">
      <c r="A25" s="976"/>
      <c r="B25" s="977"/>
      <c r="C25" s="978"/>
      <c r="D25" s="976"/>
      <c r="E25" s="976"/>
      <c r="F25" s="979"/>
      <c r="G25" s="979"/>
      <c r="H25" s="979"/>
      <c r="I25" s="979"/>
      <c r="J25" s="979"/>
      <c r="K25" s="979"/>
      <c r="L25" s="979"/>
    </row>
    <row r="26" spans="1:12" ht="16.5">
      <c r="A26" s="976"/>
      <c r="B26" s="977"/>
      <c r="C26" s="978"/>
      <c r="D26" s="976"/>
      <c r="E26" s="976"/>
      <c r="F26" s="979"/>
      <c r="G26" s="979"/>
      <c r="H26" s="979"/>
      <c r="I26" s="979"/>
      <c r="J26" s="979"/>
      <c r="K26" s="979"/>
      <c r="L26" s="979"/>
    </row>
    <row r="27" spans="1:12" ht="12.75" customHeight="1">
      <c r="A27" s="976"/>
      <c r="B27" s="977"/>
      <c r="C27" s="978"/>
      <c r="D27" s="976"/>
      <c r="E27" s="976"/>
      <c r="F27" s="979"/>
      <c r="G27" s="979"/>
      <c r="H27" s="979"/>
      <c r="I27" s="979"/>
      <c r="J27" s="979"/>
      <c r="K27" s="979"/>
      <c r="L27" s="979"/>
    </row>
    <row r="28" spans="1:12" ht="16.5">
      <c r="A28" s="976"/>
      <c r="B28" s="977"/>
      <c r="C28" s="978"/>
      <c r="D28" s="976"/>
      <c r="E28" s="976"/>
      <c r="F28" s="979"/>
      <c r="G28" s="979"/>
      <c r="H28" s="979"/>
      <c r="I28" s="979"/>
      <c r="J28" s="979"/>
      <c r="K28" s="979"/>
      <c r="L28" s="979"/>
    </row>
    <row r="29" spans="1:12" ht="16.5">
      <c r="A29" s="976"/>
      <c r="B29" s="977"/>
      <c r="C29" s="978"/>
      <c r="D29" s="976"/>
      <c r="E29" s="976"/>
      <c r="F29" s="979"/>
      <c r="G29" s="979"/>
      <c r="H29" s="979"/>
      <c r="I29" s="979"/>
      <c r="J29" s="979"/>
      <c r="K29" s="979"/>
      <c r="L29" s="979"/>
    </row>
    <row r="30" spans="1:12" ht="16.5">
      <c r="A30" s="976"/>
      <c r="B30" s="977"/>
      <c r="C30" s="978"/>
      <c r="D30" s="976"/>
      <c r="E30" s="976"/>
      <c r="F30" s="979"/>
      <c r="G30" s="979"/>
      <c r="H30" s="979"/>
      <c r="I30" s="979"/>
      <c r="J30" s="979"/>
      <c r="K30" s="979"/>
      <c r="L30" s="979"/>
    </row>
    <row r="31" spans="1:24" ht="16.5">
      <c r="A31" s="976"/>
      <c r="B31" s="997"/>
      <c r="C31" s="978"/>
      <c r="D31" s="976"/>
      <c r="E31" s="976"/>
      <c r="F31" s="998"/>
      <c r="G31" s="979"/>
      <c r="H31" s="979"/>
      <c r="I31" s="979"/>
      <c r="J31" s="979"/>
      <c r="K31" s="979"/>
      <c r="L31" s="979"/>
      <c r="M31" s="609"/>
      <c r="O31" s="610"/>
      <c r="P31" s="609"/>
      <c r="R31" s="610"/>
      <c r="S31" s="609"/>
      <c r="U31" s="610"/>
      <c r="V31" s="609"/>
      <c r="X31" s="610"/>
    </row>
    <row r="32" spans="1:12" ht="16.5">
      <c r="A32" s="976"/>
      <c r="B32" s="977"/>
      <c r="C32" s="978"/>
      <c r="D32" s="976"/>
      <c r="E32" s="976"/>
      <c r="F32" s="979"/>
      <c r="G32" s="979"/>
      <c r="H32" s="979"/>
      <c r="I32" s="979"/>
      <c r="J32" s="979"/>
      <c r="K32" s="979"/>
      <c r="L32" s="979"/>
    </row>
    <row r="33" spans="1:12" ht="16.5">
      <c r="A33" s="976"/>
      <c r="B33" s="977"/>
      <c r="C33" s="978"/>
      <c r="D33" s="976"/>
      <c r="E33" s="976"/>
      <c r="F33" s="979"/>
      <c r="G33" s="979"/>
      <c r="H33" s="979"/>
      <c r="I33" s="979"/>
      <c r="J33" s="979"/>
      <c r="K33" s="979"/>
      <c r="L33" s="979"/>
    </row>
    <row r="34" spans="1:12" ht="16.5">
      <c r="A34" s="976"/>
      <c r="B34" s="977"/>
      <c r="C34" s="978"/>
      <c r="D34" s="976"/>
      <c r="E34" s="976"/>
      <c r="F34" s="979"/>
      <c r="G34" s="979"/>
      <c r="H34" s="979"/>
      <c r="I34" s="979"/>
      <c r="J34" s="979"/>
      <c r="K34" s="979"/>
      <c r="L34" s="979"/>
    </row>
    <row r="35" spans="1:12" ht="16.5">
      <c r="A35" s="976"/>
      <c r="B35" s="977"/>
      <c r="C35" s="978"/>
      <c r="D35" s="976"/>
      <c r="E35" s="976"/>
      <c r="F35" s="979"/>
      <c r="G35" s="979"/>
      <c r="H35" s="979"/>
      <c r="I35" s="979"/>
      <c r="J35" s="979"/>
      <c r="K35" s="979"/>
      <c r="L35" s="979"/>
    </row>
    <row r="36" spans="1:12" ht="16.5">
      <c r="A36" s="976"/>
      <c r="B36" s="977"/>
      <c r="C36" s="978"/>
      <c r="D36" s="976"/>
      <c r="E36" s="976"/>
      <c r="F36" s="979"/>
      <c r="G36" s="979"/>
      <c r="H36" s="979"/>
      <c r="I36" s="979"/>
      <c r="J36" s="979"/>
      <c r="K36" s="979"/>
      <c r="L36" s="979"/>
    </row>
    <row r="37" spans="1:12" ht="16.5">
      <c r="A37" s="976"/>
      <c r="B37" s="977"/>
      <c r="C37" s="978"/>
      <c r="D37" s="976"/>
      <c r="E37" s="976"/>
      <c r="F37" s="979"/>
      <c r="G37" s="979"/>
      <c r="H37" s="979"/>
      <c r="I37" s="979"/>
      <c r="J37" s="979"/>
      <c r="K37" s="979"/>
      <c r="L37" s="979"/>
    </row>
    <row r="38" spans="1:12" ht="16.5">
      <c r="A38" s="976"/>
      <c r="B38" s="977"/>
      <c r="C38" s="978"/>
      <c r="D38" s="976"/>
      <c r="E38" s="976"/>
      <c r="F38" s="979"/>
      <c r="G38" s="979"/>
      <c r="H38" s="979"/>
      <c r="I38" s="979"/>
      <c r="J38" s="979"/>
      <c r="K38" s="979"/>
      <c r="L38" s="979"/>
    </row>
    <row r="39" spans="1:12" ht="16.5">
      <c r="A39" s="976"/>
      <c r="B39" s="977"/>
      <c r="C39" s="978"/>
      <c r="D39" s="976"/>
      <c r="E39" s="976"/>
      <c r="F39" s="979"/>
      <c r="G39" s="979"/>
      <c r="H39" s="979"/>
      <c r="I39" s="979"/>
      <c r="J39" s="979"/>
      <c r="K39" s="979"/>
      <c r="L39" s="979"/>
    </row>
    <row r="40" spans="1:12" ht="16.5">
      <c r="A40" s="976"/>
      <c r="B40" s="977"/>
      <c r="C40" s="978"/>
      <c r="D40" s="976"/>
      <c r="E40" s="976"/>
      <c r="F40" s="979"/>
      <c r="G40" s="979"/>
      <c r="H40" s="979"/>
      <c r="I40" s="979"/>
      <c r="J40" s="979"/>
      <c r="K40" s="979"/>
      <c r="L40" s="979"/>
    </row>
    <row r="41" spans="1:12" ht="16.5">
      <c r="A41" s="976"/>
      <c r="B41" s="977"/>
      <c r="C41" s="978"/>
      <c r="D41" s="976"/>
      <c r="E41" s="976"/>
      <c r="F41" s="979"/>
      <c r="G41" s="979"/>
      <c r="H41" s="979"/>
      <c r="I41" s="979"/>
      <c r="J41" s="979"/>
      <c r="K41" s="979"/>
      <c r="L41" s="979"/>
    </row>
    <row r="42" spans="1:12" ht="16.5">
      <c r="A42" s="976"/>
      <c r="B42" s="977"/>
      <c r="C42" s="978"/>
      <c r="D42" s="976"/>
      <c r="E42" s="976"/>
      <c r="F42" s="979"/>
      <c r="G42" s="979"/>
      <c r="H42" s="979"/>
      <c r="I42" s="979"/>
      <c r="J42" s="979"/>
      <c r="K42" s="979"/>
      <c r="L42" s="979"/>
    </row>
    <row r="43" spans="1:12" ht="16.5">
      <c r="A43" s="976"/>
      <c r="B43" s="977"/>
      <c r="C43" s="978"/>
      <c r="D43" s="976"/>
      <c r="E43" s="976"/>
      <c r="F43" s="979"/>
      <c r="G43" s="979"/>
      <c r="H43" s="979"/>
      <c r="I43" s="979"/>
      <c r="J43" s="979"/>
      <c r="K43" s="979"/>
      <c r="L43" s="979"/>
    </row>
    <row r="44" spans="1:12" ht="16.5">
      <c r="A44" s="976"/>
      <c r="B44" s="977"/>
      <c r="C44" s="978"/>
      <c r="D44" s="976"/>
      <c r="E44" s="976"/>
      <c r="F44" s="979"/>
      <c r="G44" s="979"/>
      <c r="H44" s="979"/>
      <c r="I44" s="979"/>
      <c r="J44" s="979"/>
      <c r="K44" s="979"/>
      <c r="L44" s="979"/>
    </row>
    <row r="45" spans="1:12" ht="16.5">
      <c r="A45" s="976"/>
      <c r="B45" s="977"/>
      <c r="C45" s="978"/>
      <c r="D45" s="976"/>
      <c r="E45" s="976"/>
      <c r="F45" s="979"/>
      <c r="G45" s="979"/>
      <c r="H45" s="979"/>
      <c r="I45" s="979"/>
      <c r="J45" s="979"/>
      <c r="K45" s="979"/>
      <c r="L45" s="979"/>
    </row>
    <row r="46" spans="1:12" ht="16.5">
      <c r="A46" s="976"/>
      <c r="B46" s="977"/>
      <c r="C46" s="978"/>
      <c r="D46" s="976"/>
      <c r="E46" s="976"/>
      <c r="F46" s="979"/>
      <c r="G46" s="979"/>
      <c r="H46" s="979"/>
      <c r="I46" s="979"/>
      <c r="J46" s="979"/>
      <c r="K46" s="979"/>
      <c r="L46" s="979"/>
    </row>
    <row r="47" spans="1:12" ht="16.5">
      <c r="A47" s="976"/>
      <c r="B47" s="977"/>
      <c r="C47" s="978"/>
      <c r="D47" s="976"/>
      <c r="E47" s="976"/>
      <c r="F47" s="979"/>
      <c r="G47" s="979"/>
      <c r="H47" s="979"/>
      <c r="I47" s="979"/>
      <c r="J47" s="979"/>
      <c r="K47" s="979"/>
      <c r="L47" s="979"/>
    </row>
    <row r="48" spans="1:12" ht="16.5">
      <c r="A48" s="976"/>
      <c r="B48" s="977"/>
      <c r="C48" s="978"/>
      <c r="D48" s="976"/>
      <c r="E48" s="976"/>
      <c r="F48" s="979"/>
      <c r="G48" s="979"/>
      <c r="H48" s="979"/>
      <c r="I48" s="979"/>
      <c r="J48" s="979"/>
      <c r="K48" s="979"/>
      <c r="L48" s="979"/>
    </row>
    <row r="49" spans="1:12" ht="16.5">
      <c r="A49" s="976"/>
      <c r="B49" s="977"/>
      <c r="C49" s="978"/>
      <c r="D49" s="976"/>
      <c r="E49" s="976"/>
      <c r="F49" s="979"/>
      <c r="G49" s="979"/>
      <c r="H49" s="979"/>
      <c r="I49" s="979"/>
      <c r="J49" s="979"/>
      <c r="K49" s="979"/>
      <c r="L49" s="979"/>
    </row>
    <row r="50" spans="1:12" ht="16.5">
      <c r="A50" s="976"/>
      <c r="B50" s="977"/>
      <c r="C50" s="978"/>
      <c r="D50" s="976"/>
      <c r="E50" s="976"/>
      <c r="F50" s="979"/>
      <c r="G50" s="979"/>
      <c r="H50" s="979"/>
      <c r="I50" s="979"/>
      <c r="J50" s="979"/>
      <c r="K50" s="979"/>
      <c r="L50" s="979"/>
    </row>
    <row r="51" spans="1:12" ht="16.5">
      <c r="A51" s="976"/>
      <c r="B51" s="977"/>
      <c r="C51" s="978"/>
      <c r="D51" s="976"/>
      <c r="E51" s="976"/>
      <c r="F51" s="979"/>
      <c r="G51" s="979"/>
      <c r="H51" s="979"/>
      <c r="I51" s="979"/>
      <c r="J51" s="979"/>
      <c r="K51" s="979"/>
      <c r="L51" s="979"/>
    </row>
    <row r="52" spans="1:12" ht="16.5">
      <c r="A52" s="976"/>
      <c r="B52" s="977"/>
      <c r="C52" s="978"/>
      <c r="D52" s="976"/>
      <c r="E52" s="976"/>
      <c r="F52" s="979"/>
      <c r="G52" s="979"/>
      <c r="H52" s="979"/>
      <c r="I52" s="979"/>
      <c r="J52" s="979"/>
      <c r="K52" s="979"/>
      <c r="L52" s="979"/>
    </row>
    <row r="53" spans="1:12" ht="16.5">
      <c r="A53" s="976"/>
      <c r="B53" s="977"/>
      <c r="C53" s="978"/>
      <c r="D53" s="976"/>
      <c r="E53" s="976"/>
      <c r="F53" s="979"/>
      <c r="G53" s="979"/>
      <c r="H53" s="979"/>
      <c r="I53" s="979"/>
      <c r="J53" s="979"/>
      <c r="K53" s="979"/>
      <c r="L53" s="979"/>
    </row>
    <row r="54" spans="1:12" ht="16.5">
      <c r="A54" s="976"/>
      <c r="B54" s="977"/>
      <c r="C54" s="978"/>
      <c r="D54" s="976"/>
      <c r="E54" s="976"/>
      <c r="F54" s="979"/>
      <c r="G54" s="979"/>
      <c r="H54" s="979"/>
      <c r="I54" s="979"/>
      <c r="J54" s="979"/>
      <c r="K54" s="979"/>
      <c r="L54" s="979"/>
    </row>
    <row r="55" spans="1:12" ht="16.5">
      <c r="A55" s="976"/>
      <c r="B55" s="977"/>
      <c r="C55" s="978"/>
      <c r="D55" s="976"/>
      <c r="E55" s="976"/>
      <c r="F55" s="979"/>
      <c r="G55" s="979"/>
      <c r="H55" s="979"/>
      <c r="I55" s="979"/>
      <c r="J55" s="979"/>
      <c r="K55" s="979"/>
      <c r="L55" s="979"/>
    </row>
    <row r="56" spans="1:12" ht="16.5">
      <c r="A56" s="976"/>
      <c r="B56" s="977"/>
      <c r="C56" s="978"/>
      <c r="D56" s="976"/>
      <c r="E56" s="976"/>
      <c r="F56" s="979"/>
      <c r="G56" s="979"/>
      <c r="H56" s="979"/>
      <c r="I56" s="979"/>
      <c r="J56" s="979"/>
      <c r="K56" s="979"/>
      <c r="L56" s="979"/>
    </row>
    <row r="57" spans="1:12" ht="16.5">
      <c r="A57" s="976"/>
      <c r="B57" s="977"/>
      <c r="C57" s="978"/>
      <c r="D57" s="976"/>
      <c r="E57" s="976"/>
      <c r="F57" s="979"/>
      <c r="G57" s="979"/>
      <c r="H57" s="979"/>
      <c r="I57" s="979"/>
      <c r="J57" s="979"/>
      <c r="K57" s="979"/>
      <c r="L57" s="979"/>
    </row>
    <row r="58" spans="1:12" ht="16.5">
      <c r="A58" s="976"/>
      <c r="B58" s="977"/>
      <c r="C58" s="978"/>
      <c r="D58" s="976"/>
      <c r="E58" s="976"/>
      <c r="F58" s="979"/>
      <c r="G58" s="979"/>
      <c r="H58" s="979"/>
      <c r="I58" s="979"/>
      <c r="J58" s="979"/>
      <c r="K58" s="979"/>
      <c r="L58" s="979"/>
    </row>
    <row r="59" spans="1:12" ht="16.5">
      <c r="A59" s="976"/>
      <c r="B59" s="977"/>
      <c r="C59" s="978"/>
      <c r="D59" s="976"/>
      <c r="E59" s="976"/>
      <c r="F59" s="979"/>
      <c r="G59" s="979"/>
      <c r="H59" s="979"/>
      <c r="I59" s="979"/>
      <c r="J59" s="979"/>
      <c r="K59" s="979"/>
      <c r="L59" s="979"/>
    </row>
    <row r="60" spans="1:12" ht="16.5">
      <c r="A60" s="976"/>
      <c r="B60" s="977"/>
      <c r="C60" s="978"/>
      <c r="D60" s="976"/>
      <c r="E60" s="976"/>
      <c r="F60" s="979"/>
      <c r="G60" s="979"/>
      <c r="H60" s="979"/>
      <c r="I60" s="979"/>
      <c r="J60" s="979"/>
      <c r="K60" s="979"/>
      <c r="L60" s="979"/>
    </row>
    <row r="61" spans="1:12" ht="16.5">
      <c r="A61" s="976"/>
      <c r="B61" s="977"/>
      <c r="C61" s="978"/>
      <c r="D61" s="976"/>
      <c r="E61" s="976"/>
      <c r="F61" s="979"/>
      <c r="G61" s="979"/>
      <c r="H61" s="979"/>
      <c r="I61" s="979"/>
      <c r="J61" s="979"/>
      <c r="K61" s="979"/>
      <c r="L61" s="979"/>
    </row>
    <row r="62" spans="1:12" ht="16.5">
      <c r="A62" s="976"/>
      <c r="B62" s="977"/>
      <c r="C62" s="978"/>
      <c r="D62" s="976"/>
      <c r="E62" s="976"/>
      <c r="F62" s="979"/>
      <c r="G62" s="979"/>
      <c r="H62" s="979"/>
      <c r="I62" s="979"/>
      <c r="J62" s="979"/>
      <c r="K62" s="979"/>
      <c r="L62" s="979"/>
    </row>
    <row r="63" spans="1:12" ht="16.5">
      <c r="A63" s="976"/>
      <c r="B63" s="977"/>
      <c r="C63" s="978"/>
      <c r="D63" s="976"/>
      <c r="E63" s="976"/>
      <c r="F63" s="979"/>
      <c r="G63" s="979"/>
      <c r="H63" s="979"/>
      <c r="I63" s="979"/>
      <c r="J63" s="979"/>
      <c r="K63" s="979"/>
      <c r="L63" s="979"/>
    </row>
    <row r="64" spans="1:12" ht="16.5">
      <c r="A64" s="976"/>
      <c r="B64" s="977"/>
      <c r="C64" s="978"/>
      <c r="D64" s="976"/>
      <c r="E64" s="976"/>
      <c r="F64" s="979"/>
      <c r="G64" s="979"/>
      <c r="H64" s="979"/>
      <c r="I64" s="979"/>
      <c r="J64" s="979"/>
      <c r="K64" s="979"/>
      <c r="L64" s="979"/>
    </row>
    <row r="65" spans="1:12" ht="16.5">
      <c r="A65" s="976"/>
      <c r="B65" s="977"/>
      <c r="C65" s="978"/>
      <c r="D65" s="976"/>
      <c r="E65" s="976"/>
      <c r="F65" s="979"/>
      <c r="G65" s="979"/>
      <c r="H65" s="979"/>
      <c r="I65" s="979"/>
      <c r="J65" s="979"/>
      <c r="K65" s="979"/>
      <c r="L65" s="979"/>
    </row>
    <row r="66" spans="1:12" ht="16.5">
      <c r="A66" s="976"/>
      <c r="B66" s="977"/>
      <c r="C66" s="978"/>
      <c r="D66" s="976"/>
      <c r="E66" s="976"/>
      <c r="F66" s="979"/>
      <c r="G66" s="979"/>
      <c r="H66" s="979"/>
      <c r="I66" s="979"/>
      <c r="J66" s="979"/>
      <c r="K66" s="979"/>
      <c r="L66" s="979"/>
    </row>
    <row r="67" spans="1:12" ht="16.5">
      <c r="A67" s="976"/>
      <c r="B67" s="977"/>
      <c r="C67" s="978"/>
      <c r="D67" s="976"/>
      <c r="E67" s="976"/>
      <c r="F67" s="979"/>
      <c r="G67" s="979"/>
      <c r="H67" s="979"/>
      <c r="I67" s="979"/>
      <c r="J67" s="979"/>
      <c r="K67" s="979"/>
      <c r="L67" s="979"/>
    </row>
    <row r="68" spans="1:12" ht="16.5">
      <c r="A68" s="976"/>
      <c r="B68" s="977"/>
      <c r="C68" s="978"/>
      <c r="D68" s="976"/>
      <c r="E68" s="976"/>
      <c r="F68" s="979"/>
      <c r="G68" s="979"/>
      <c r="H68" s="979"/>
      <c r="I68" s="979"/>
      <c r="J68" s="979"/>
      <c r="K68" s="979"/>
      <c r="L68" s="979"/>
    </row>
    <row r="69" spans="1:12" ht="16.5">
      <c r="A69" s="976"/>
      <c r="B69" s="977"/>
      <c r="C69" s="978"/>
      <c r="D69" s="976"/>
      <c r="E69" s="976"/>
      <c r="F69" s="979"/>
      <c r="G69" s="979"/>
      <c r="H69" s="979"/>
      <c r="I69" s="979"/>
      <c r="J69" s="979"/>
      <c r="K69" s="979"/>
      <c r="L69" s="979"/>
    </row>
    <row r="70" spans="1:12" ht="16.5">
      <c r="A70" s="976"/>
      <c r="B70" s="977"/>
      <c r="C70" s="978"/>
      <c r="D70" s="976"/>
      <c r="E70" s="976"/>
      <c r="F70" s="979"/>
      <c r="G70" s="979"/>
      <c r="H70" s="979"/>
      <c r="I70" s="979"/>
      <c r="J70" s="979"/>
      <c r="K70" s="979"/>
      <c r="L70" s="979"/>
    </row>
    <row r="71" spans="1:12" ht="16.5">
      <c r="A71" s="976"/>
      <c r="B71" s="977"/>
      <c r="C71" s="978"/>
      <c r="D71" s="976"/>
      <c r="E71" s="976"/>
      <c r="F71" s="979"/>
      <c r="G71" s="979"/>
      <c r="H71" s="979"/>
      <c r="I71" s="979"/>
      <c r="J71" s="979"/>
      <c r="K71" s="979"/>
      <c r="L71" s="979"/>
    </row>
    <row r="72" spans="1:12" ht="16.5">
      <c r="A72" s="976"/>
      <c r="B72" s="977"/>
      <c r="C72" s="978"/>
      <c r="D72" s="976"/>
      <c r="E72" s="976"/>
      <c r="F72" s="979"/>
      <c r="G72" s="979"/>
      <c r="H72" s="979"/>
      <c r="I72" s="979"/>
      <c r="J72" s="979"/>
      <c r="K72" s="979"/>
      <c r="L72" s="979"/>
    </row>
    <row r="73" spans="1:12" ht="16.5">
      <c r="A73" s="976"/>
      <c r="B73" s="977"/>
      <c r="C73" s="978"/>
      <c r="D73" s="976"/>
      <c r="E73" s="976"/>
      <c r="F73" s="979"/>
      <c r="G73" s="979"/>
      <c r="H73" s="979"/>
      <c r="I73" s="979"/>
      <c r="J73" s="979"/>
      <c r="K73" s="979"/>
      <c r="L73" s="979"/>
    </row>
    <row r="74" spans="1:12" ht="16.5">
      <c r="A74" s="976"/>
      <c r="B74" s="977"/>
      <c r="C74" s="978"/>
      <c r="D74" s="976"/>
      <c r="E74" s="976"/>
      <c r="F74" s="979"/>
      <c r="G74" s="979"/>
      <c r="H74" s="979"/>
      <c r="I74" s="979"/>
      <c r="J74" s="979"/>
      <c r="K74" s="979"/>
      <c r="L74" s="979"/>
    </row>
    <row r="75" spans="1:12" ht="16.5">
      <c r="A75" s="976"/>
      <c r="B75" s="977"/>
      <c r="C75" s="978"/>
      <c r="D75" s="976"/>
      <c r="E75" s="976"/>
      <c r="F75" s="979"/>
      <c r="G75" s="979"/>
      <c r="H75" s="979"/>
      <c r="I75" s="979"/>
      <c r="J75" s="979"/>
      <c r="K75" s="979"/>
      <c r="L75" s="979"/>
    </row>
    <row r="76" spans="1:12" ht="16.5">
      <c r="A76" s="976"/>
      <c r="B76" s="977"/>
      <c r="C76" s="978"/>
      <c r="D76" s="976"/>
      <c r="E76" s="976"/>
      <c r="F76" s="979"/>
      <c r="G76" s="979"/>
      <c r="H76" s="979"/>
      <c r="I76" s="979"/>
      <c r="J76" s="979"/>
      <c r="K76" s="979"/>
      <c r="L76" s="979"/>
    </row>
    <row r="77" spans="1:12" ht="16.5">
      <c r="A77" s="976"/>
      <c r="B77" s="977"/>
      <c r="C77" s="978"/>
      <c r="D77" s="976"/>
      <c r="E77" s="976"/>
      <c r="F77" s="979"/>
      <c r="G77" s="979"/>
      <c r="H77" s="979"/>
      <c r="I77" s="979"/>
      <c r="J77" s="979"/>
      <c r="K77" s="979"/>
      <c r="L77" s="979"/>
    </row>
    <row r="78" spans="1:12" ht="16.5">
      <c r="A78" s="976"/>
      <c r="B78" s="977"/>
      <c r="C78" s="978"/>
      <c r="D78" s="976"/>
      <c r="E78" s="976"/>
      <c r="F78" s="979"/>
      <c r="G78" s="979"/>
      <c r="H78" s="979"/>
      <c r="I78" s="979"/>
      <c r="J78" s="979"/>
      <c r="K78" s="979"/>
      <c r="L78" s="979"/>
    </row>
    <row r="79" spans="1:12" ht="16.5">
      <c r="A79" s="976"/>
      <c r="B79" s="977"/>
      <c r="C79" s="978"/>
      <c r="D79" s="976"/>
      <c r="E79" s="976"/>
      <c r="F79" s="979"/>
      <c r="G79" s="979"/>
      <c r="H79" s="979"/>
      <c r="I79" s="979"/>
      <c r="J79" s="979"/>
      <c r="K79" s="979"/>
      <c r="L79" s="979"/>
    </row>
    <row r="80" spans="1:12" ht="16.5">
      <c r="A80" s="976"/>
      <c r="B80" s="977"/>
      <c r="C80" s="978"/>
      <c r="D80" s="976"/>
      <c r="E80" s="976"/>
      <c r="F80" s="979"/>
      <c r="G80" s="979"/>
      <c r="H80" s="979"/>
      <c r="I80" s="979"/>
      <c r="J80" s="979"/>
      <c r="K80" s="979"/>
      <c r="L80" s="979"/>
    </row>
    <row r="81" spans="1:12" ht="16.5">
      <c r="A81" s="976"/>
      <c r="B81" s="977"/>
      <c r="C81" s="978"/>
      <c r="D81" s="976"/>
      <c r="E81" s="976"/>
      <c r="F81" s="979"/>
      <c r="G81" s="979"/>
      <c r="H81" s="979"/>
      <c r="I81" s="979"/>
      <c r="J81" s="979"/>
      <c r="K81" s="979"/>
      <c r="L81" s="979"/>
    </row>
    <row r="82" spans="1:12" ht="16.5">
      <c r="A82" s="976"/>
      <c r="B82" s="977"/>
      <c r="C82" s="978"/>
      <c r="D82" s="976"/>
      <c r="E82" s="976"/>
      <c r="F82" s="979"/>
      <c r="G82" s="979"/>
      <c r="H82" s="979"/>
      <c r="I82" s="979"/>
      <c r="J82" s="979"/>
      <c r="K82" s="979"/>
      <c r="L82" s="979"/>
    </row>
    <row r="83" spans="1:12" ht="16.5">
      <c r="A83" s="976"/>
      <c r="B83" s="977"/>
      <c r="C83" s="978"/>
      <c r="D83" s="976"/>
      <c r="E83" s="976"/>
      <c r="F83" s="979"/>
      <c r="G83" s="979"/>
      <c r="H83" s="979"/>
      <c r="I83" s="979"/>
      <c r="J83" s="979"/>
      <c r="K83" s="979"/>
      <c r="L83" s="979"/>
    </row>
    <row r="84" spans="1:12" ht="16.5">
      <c r="A84" s="976"/>
      <c r="B84" s="977"/>
      <c r="C84" s="978"/>
      <c r="D84" s="976"/>
      <c r="E84" s="976"/>
      <c r="F84" s="979"/>
      <c r="G84" s="979"/>
      <c r="H84" s="979"/>
      <c r="I84" s="979"/>
      <c r="J84" s="979"/>
      <c r="K84" s="979"/>
      <c r="L84" s="979"/>
    </row>
    <row r="85" spans="1:12" ht="16.5">
      <c r="A85" s="976"/>
      <c r="B85" s="977"/>
      <c r="C85" s="978"/>
      <c r="D85" s="976"/>
      <c r="E85" s="976"/>
      <c r="F85" s="979"/>
      <c r="G85" s="979"/>
      <c r="H85" s="979"/>
      <c r="I85" s="979"/>
      <c r="J85" s="979"/>
      <c r="K85" s="979"/>
      <c r="L85" s="979"/>
    </row>
    <row r="86" spans="1:12" ht="16.5">
      <c r="A86" s="976"/>
      <c r="B86" s="977"/>
      <c r="C86" s="978"/>
      <c r="D86" s="976"/>
      <c r="E86" s="976"/>
      <c r="F86" s="979"/>
      <c r="G86" s="979"/>
      <c r="H86" s="979"/>
      <c r="I86" s="979"/>
      <c r="J86" s="979"/>
      <c r="K86" s="979"/>
      <c r="L86" s="979"/>
    </row>
    <row r="87" spans="1:12" ht="16.5">
      <c r="A87" s="976"/>
      <c r="B87" s="977"/>
      <c r="C87" s="978"/>
      <c r="D87" s="976"/>
      <c r="E87" s="976"/>
      <c r="F87" s="979"/>
      <c r="G87" s="979"/>
      <c r="H87" s="979"/>
      <c r="I87" s="979"/>
      <c r="J87" s="979"/>
      <c r="K87" s="979"/>
      <c r="L87" s="979"/>
    </row>
    <row r="88" spans="1:12" ht="16.5">
      <c r="A88" s="976"/>
      <c r="B88" s="977"/>
      <c r="C88" s="978"/>
      <c r="D88" s="976"/>
      <c r="E88" s="976"/>
      <c r="F88" s="979"/>
      <c r="G88" s="979"/>
      <c r="H88" s="979"/>
      <c r="I88" s="979"/>
      <c r="J88" s="979"/>
      <c r="K88" s="979"/>
      <c r="L88" s="979"/>
    </row>
    <row r="89" spans="1:12" ht="16.5">
      <c r="A89" s="976"/>
      <c r="B89" s="977"/>
      <c r="C89" s="978"/>
      <c r="D89" s="976"/>
      <c r="E89" s="976"/>
      <c r="F89" s="979"/>
      <c r="G89" s="979"/>
      <c r="H89" s="979"/>
      <c r="I89" s="979"/>
      <c r="J89" s="979"/>
      <c r="K89" s="979"/>
      <c r="L89" s="979"/>
    </row>
    <row r="90" spans="1:12" ht="16.5">
      <c r="A90" s="976"/>
      <c r="B90" s="977"/>
      <c r="C90" s="978"/>
      <c r="D90" s="976"/>
      <c r="E90" s="976"/>
      <c r="F90" s="979"/>
      <c r="G90" s="979"/>
      <c r="H90" s="979"/>
      <c r="I90" s="979"/>
      <c r="J90" s="979"/>
      <c r="K90" s="979"/>
      <c r="L90" s="979"/>
    </row>
    <row r="91" spans="1:12" ht="16.5">
      <c r="A91" s="976"/>
      <c r="B91" s="977"/>
      <c r="C91" s="978"/>
      <c r="D91" s="976"/>
      <c r="E91" s="976"/>
      <c r="F91" s="979"/>
      <c r="G91" s="979"/>
      <c r="H91" s="979"/>
      <c r="I91" s="979"/>
      <c r="J91" s="979"/>
      <c r="K91" s="979"/>
      <c r="L91" s="979"/>
    </row>
    <row r="92" spans="1:12" ht="16.5">
      <c r="A92" s="976"/>
      <c r="B92" s="977"/>
      <c r="C92" s="978"/>
      <c r="D92" s="976"/>
      <c r="E92" s="976"/>
      <c r="F92" s="979"/>
      <c r="G92" s="979"/>
      <c r="H92" s="979"/>
      <c r="I92" s="979"/>
      <c r="J92" s="979"/>
      <c r="K92" s="979"/>
      <c r="L92" s="979"/>
    </row>
    <row r="93" spans="1:12" ht="16.5">
      <c r="A93" s="976"/>
      <c r="B93" s="977"/>
      <c r="C93" s="978"/>
      <c r="D93" s="976"/>
      <c r="E93" s="976"/>
      <c r="F93" s="979"/>
      <c r="G93" s="979"/>
      <c r="H93" s="979"/>
      <c r="I93" s="979"/>
      <c r="J93" s="979"/>
      <c r="K93" s="979"/>
      <c r="L93" s="979"/>
    </row>
    <row r="94" spans="1:12" ht="16.5">
      <c r="A94" s="976"/>
      <c r="B94" s="977"/>
      <c r="C94" s="978"/>
      <c r="D94" s="976"/>
      <c r="E94" s="976"/>
      <c r="F94" s="979"/>
      <c r="G94" s="979"/>
      <c r="H94" s="979"/>
      <c r="I94" s="979"/>
      <c r="J94" s="979"/>
      <c r="K94" s="979"/>
      <c r="L94" s="979"/>
    </row>
    <row r="95" spans="1:12" ht="16.5">
      <c r="A95" s="976"/>
      <c r="B95" s="977"/>
      <c r="C95" s="978"/>
      <c r="D95" s="976"/>
      <c r="E95" s="976"/>
      <c r="F95" s="979"/>
      <c r="G95" s="979"/>
      <c r="H95" s="979"/>
      <c r="I95" s="979"/>
      <c r="J95" s="979"/>
      <c r="K95" s="979"/>
      <c r="L95" s="979"/>
    </row>
    <row r="96" spans="1:12" ht="16.5">
      <c r="A96" s="976"/>
      <c r="B96" s="977"/>
      <c r="C96" s="978"/>
      <c r="D96" s="976"/>
      <c r="E96" s="976"/>
      <c r="F96" s="979"/>
      <c r="G96" s="979"/>
      <c r="H96" s="979"/>
      <c r="I96" s="979"/>
      <c r="J96" s="979"/>
      <c r="K96" s="979"/>
      <c r="L96" s="979"/>
    </row>
    <row r="97" spans="1:12" ht="16.5">
      <c r="A97" s="976"/>
      <c r="B97" s="977"/>
      <c r="C97" s="978"/>
      <c r="D97" s="976"/>
      <c r="E97" s="976"/>
      <c r="F97" s="979"/>
      <c r="G97" s="979"/>
      <c r="H97" s="979"/>
      <c r="I97" s="979"/>
      <c r="J97" s="979"/>
      <c r="K97" s="979"/>
      <c r="L97" s="979"/>
    </row>
    <row r="98" spans="1:12" ht="16.5">
      <c r="A98" s="976"/>
      <c r="B98" s="977"/>
      <c r="C98" s="978"/>
      <c r="D98" s="976"/>
      <c r="E98" s="976"/>
      <c r="F98" s="979"/>
      <c r="G98" s="979"/>
      <c r="H98" s="979"/>
      <c r="I98" s="979"/>
      <c r="J98" s="979"/>
      <c r="K98" s="979"/>
      <c r="L98" s="979"/>
    </row>
    <row r="99" spans="1:12" ht="16.5">
      <c r="A99" s="976"/>
      <c r="B99" s="977"/>
      <c r="C99" s="978"/>
      <c r="D99" s="976"/>
      <c r="E99" s="976"/>
      <c r="F99" s="979"/>
      <c r="G99" s="979"/>
      <c r="H99" s="979"/>
      <c r="I99" s="979"/>
      <c r="J99" s="979"/>
      <c r="K99" s="979"/>
      <c r="L99" s="979"/>
    </row>
    <row r="100" spans="1:12" ht="16.5">
      <c r="A100" s="976"/>
      <c r="B100" s="977"/>
      <c r="C100" s="978"/>
      <c r="D100" s="976"/>
      <c r="E100" s="976"/>
      <c r="F100" s="979"/>
      <c r="G100" s="979"/>
      <c r="H100" s="979"/>
      <c r="I100" s="979"/>
      <c r="J100" s="979"/>
      <c r="K100" s="979"/>
      <c r="L100" s="979"/>
    </row>
    <row r="101" spans="1:12" ht="16.5">
      <c r="A101" s="976"/>
      <c r="B101" s="977"/>
      <c r="C101" s="978"/>
      <c r="D101" s="976"/>
      <c r="E101" s="976"/>
      <c r="F101" s="979"/>
      <c r="G101" s="979"/>
      <c r="H101" s="979"/>
      <c r="I101" s="979"/>
      <c r="J101" s="979"/>
      <c r="K101" s="979"/>
      <c r="L101" s="979"/>
    </row>
    <row r="102" spans="1:12" ht="16.5">
      <c r="A102" s="976"/>
      <c r="B102" s="977"/>
      <c r="C102" s="978"/>
      <c r="D102" s="976"/>
      <c r="E102" s="976"/>
      <c r="F102" s="979"/>
      <c r="G102" s="979"/>
      <c r="H102" s="979"/>
      <c r="I102" s="979"/>
      <c r="J102" s="979"/>
      <c r="K102" s="979"/>
      <c r="L102" s="979"/>
    </row>
    <row r="103" spans="1:12" ht="16.5">
      <c r="A103" s="976"/>
      <c r="B103" s="977"/>
      <c r="C103" s="978"/>
      <c r="D103" s="976"/>
      <c r="E103" s="976"/>
      <c r="F103" s="979"/>
      <c r="G103" s="979"/>
      <c r="H103" s="979"/>
      <c r="I103" s="979"/>
      <c r="J103" s="979"/>
      <c r="K103" s="979"/>
      <c r="L103" s="979"/>
    </row>
    <row r="104" spans="1:12" ht="16.5">
      <c r="A104" s="976"/>
      <c r="B104" s="977"/>
      <c r="C104" s="978"/>
      <c r="D104" s="976"/>
      <c r="E104" s="976"/>
      <c r="F104" s="979"/>
      <c r="G104" s="979"/>
      <c r="H104" s="979"/>
      <c r="I104" s="979"/>
      <c r="J104" s="979"/>
      <c r="K104" s="979"/>
      <c r="L104" s="979"/>
    </row>
    <row r="105" spans="1:12" ht="16.5">
      <c r="A105" s="976"/>
      <c r="B105" s="977"/>
      <c r="C105" s="978"/>
      <c r="D105" s="976"/>
      <c r="E105" s="976"/>
      <c r="F105" s="979"/>
      <c r="G105" s="979"/>
      <c r="H105" s="979"/>
      <c r="I105" s="979"/>
      <c r="J105" s="979"/>
      <c r="K105" s="979"/>
      <c r="L105" s="979"/>
    </row>
    <row r="106" spans="1:12" ht="16.5">
      <c r="A106" s="976"/>
      <c r="B106" s="977"/>
      <c r="C106" s="978"/>
      <c r="D106" s="976"/>
      <c r="E106" s="976"/>
      <c r="F106" s="979"/>
      <c r="G106" s="979"/>
      <c r="H106" s="979"/>
      <c r="I106" s="979"/>
      <c r="J106" s="979"/>
      <c r="K106" s="979"/>
      <c r="L106" s="979"/>
    </row>
    <row r="107" spans="1:12" ht="16.5">
      <c r="A107" s="976"/>
      <c r="B107" s="977"/>
      <c r="C107" s="978"/>
      <c r="D107" s="976"/>
      <c r="E107" s="976"/>
      <c r="F107" s="979"/>
      <c r="G107" s="979"/>
      <c r="H107" s="979"/>
      <c r="I107" s="979"/>
      <c r="J107" s="979"/>
      <c r="K107" s="979"/>
      <c r="L107" s="979"/>
    </row>
    <row r="108" spans="1:12" ht="16.5">
      <c r="A108" s="976"/>
      <c r="B108" s="977"/>
      <c r="C108" s="978"/>
      <c r="D108" s="976"/>
      <c r="E108" s="976"/>
      <c r="F108" s="979"/>
      <c r="G108" s="979"/>
      <c r="H108" s="979"/>
      <c r="I108" s="979"/>
      <c r="J108" s="979"/>
      <c r="K108" s="979"/>
      <c r="L108" s="979"/>
    </row>
    <row r="109" spans="1:12" ht="16.5">
      <c r="A109" s="976"/>
      <c r="B109" s="977"/>
      <c r="C109" s="978"/>
      <c r="D109" s="976"/>
      <c r="E109" s="976"/>
      <c r="F109" s="979"/>
      <c r="G109" s="979"/>
      <c r="H109" s="979"/>
      <c r="I109" s="979"/>
      <c r="J109" s="979"/>
      <c r="K109" s="979"/>
      <c r="L109" s="979"/>
    </row>
    <row r="110" spans="1:12" ht="16.5">
      <c r="A110" s="976"/>
      <c r="B110" s="977"/>
      <c r="C110" s="978"/>
      <c r="D110" s="976"/>
      <c r="E110" s="976"/>
      <c r="F110" s="979"/>
      <c r="G110" s="979"/>
      <c r="H110" s="979"/>
      <c r="I110" s="979"/>
      <c r="J110" s="979"/>
      <c r="K110" s="979"/>
      <c r="L110" s="979"/>
    </row>
    <row r="111" spans="1:12" ht="16.5">
      <c r="A111" s="976"/>
      <c r="B111" s="977"/>
      <c r="C111" s="978"/>
      <c r="D111" s="976"/>
      <c r="E111" s="976"/>
      <c r="F111" s="979"/>
      <c r="G111" s="979"/>
      <c r="H111" s="979"/>
      <c r="I111" s="979"/>
      <c r="J111" s="979"/>
      <c r="K111" s="979"/>
      <c r="L111" s="979"/>
    </row>
    <row r="112" spans="1:12" ht="16.5">
      <c r="A112" s="976"/>
      <c r="B112" s="977"/>
      <c r="C112" s="978"/>
      <c r="D112" s="976"/>
      <c r="E112" s="976"/>
      <c r="F112" s="979"/>
      <c r="G112" s="979"/>
      <c r="H112" s="979"/>
      <c r="I112" s="979"/>
      <c r="J112" s="979"/>
      <c r="K112" s="979"/>
      <c r="L112" s="979"/>
    </row>
    <row r="113" spans="1:12" ht="16.5">
      <c r="A113" s="976"/>
      <c r="B113" s="977"/>
      <c r="C113" s="978"/>
      <c r="D113" s="976"/>
      <c r="E113" s="976"/>
      <c r="F113" s="979"/>
      <c r="G113" s="979"/>
      <c r="H113" s="979"/>
      <c r="I113" s="979"/>
      <c r="J113" s="979"/>
      <c r="K113" s="979"/>
      <c r="L113" s="979"/>
    </row>
    <row r="114" spans="1:12" ht="16.5">
      <c r="A114" s="976"/>
      <c r="B114" s="977"/>
      <c r="C114" s="978"/>
      <c r="D114" s="976"/>
      <c r="E114" s="976"/>
      <c r="F114" s="979"/>
      <c r="G114" s="979"/>
      <c r="H114" s="979"/>
      <c r="I114" s="979"/>
      <c r="J114" s="979"/>
      <c r="K114" s="979"/>
      <c r="L114" s="979"/>
    </row>
    <row r="115" spans="1:12" ht="16.5">
      <c r="A115" s="976"/>
      <c r="B115" s="977"/>
      <c r="C115" s="978"/>
      <c r="D115" s="976"/>
      <c r="E115" s="976"/>
      <c r="F115" s="979"/>
      <c r="G115" s="979"/>
      <c r="H115" s="979"/>
      <c r="I115" s="979"/>
      <c r="J115" s="979"/>
      <c r="K115" s="979"/>
      <c r="L115" s="979"/>
    </row>
    <row r="116" spans="1:12" ht="16.5">
      <c r="A116" s="976"/>
      <c r="B116" s="977"/>
      <c r="C116" s="978"/>
      <c r="D116" s="976"/>
      <c r="E116" s="976"/>
      <c r="F116" s="979"/>
      <c r="G116" s="979"/>
      <c r="H116" s="979"/>
      <c r="I116" s="979"/>
      <c r="J116" s="979"/>
      <c r="K116" s="979"/>
      <c r="L116" s="979"/>
    </row>
    <row r="117" spans="1:12" ht="16.5">
      <c r="A117" s="976"/>
      <c r="B117" s="977"/>
      <c r="C117" s="978"/>
      <c r="D117" s="976"/>
      <c r="E117" s="976"/>
      <c r="F117" s="979"/>
      <c r="G117" s="979"/>
      <c r="H117" s="979"/>
      <c r="I117" s="979"/>
      <c r="J117" s="979"/>
      <c r="K117" s="979"/>
      <c r="L117" s="979"/>
    </row>
    <row r="118" spans="1:12" ht="16.5">
      <c r="A118" s="976"/>
      <c r="B118" s="977"/>
      <c r="C118" s="978"/>
      <c r="D118" s="976"/>
      <c r="E118" s="976"/>
      <c r="F118" s="979"/>
      <c r="G118" s="979"/>
      <c r="H118" s="979"/>
      <c r="I118" s="979"/>
      <c r="J118" s="979"/>
      <c r="K118" s="979"/>
      <c r="L118" s="979"/>
    </row>
    <row r="119" spans="1:12" ht="16.5">
      <c r="A119" s="976"/>
      <c r="B119" s="977"/>
      <c r="C119" s="978"/>
      <c r="D119" s="976"/>
      <c r="E119" s="976"/>
      <c r="F119" s="979"/>
      <c r="G119" s="979"/>
      <c r="H119" s="979"/>
      <c r="I119" s="979"/>
      <c r="J119" s="979"/>
      <c r="K119" s="979"/>
      <c r="L119" s="979"/>
    </row>
    <row r="120" spans="1:12" ht="16.5">
      <c r="A120" s="976"/>
      <c r="B120" s="977"/>
      <c r="C120" s="978"/>
      <c r="D120" s="976"/>
      <c r="E120" s="976"/>
      <c r="F120" s="979"/>
      <c r="G120" s="979"/>
      <c r="H120" s="979"/>
      <c r="I120" s="979"/>
      <c r="J120" s="979"/>
      <c r="K120" s="979"/>
      <c r="L120" s="979"/>
    </row>
    <row r="121" spans="1:12" ht="16.5">
      <c r="A121" s="976"/>
      <c r="B121" s="977"/>
      <c r="C121" s="978"/>
      <c r="D121" s="976"/>
      <c r="E121" s="976"/>
      <c r="F121" s="979"/>
      <c r="G121" s="979"/>
      <c r="H121" s="979"/>
      <c r="I121" s="979"/>
      <c r="J121" s="979"/>
      <c r="K121" s="979"/>
      <c r="L121" s="979"/>
    </row>
    <row r="122" spans="1:12" ht="16.5">
      <c r="A122" s="976"/>
      <c r="B122" s="977"/>
      <c r="C122" s="978"/>
      <c r="D122" s="976"/>
      <c r="E122" s="976"/>
      <c r="F122" s="979"/>
      <c r="G122" s="979"/>
      <c r="H122" s="979"/>
      <c r="I122" s="979"/>
      <c r="J122" s="979"/>
      <c r="K122" s="979"/>
      <c r="L122" s="979"/>
    </row>
    <row r="123" spans="1:12" ht="16.5">
      <c r="A123" s="976"/>
      <c r="B123" s="977"/>
      <c r="C123" s="978"/>
      <c r="D123" s="976"/>
      <c r="E123" s="976"/>
      <c r="F123" s="979"/>
      <c r="G123" s="979"/>
      <c r="H123" s="979"/>
      <c r="I123" s="979"/>
      <c r="J123" s="979"/>
      <c r="K123" s="979"/>
      <c r="L123" s="979"/>
    </row>
    <row r="124" spans="1:12" ht="16.5">
      <c r="A124" s="976"/>
      <c r="B124" s="977"/>
      <c r="C124" s="978"/>
      <c r="D124" s="976"/>
      <c r="E124" s="976"/>
      <c r="F124" s="979"/>
      <c r="G124" s="979"/>
      <c r="H124" s="979"/>
      <c r="I124" s="979"/>
      <c r="J124" s="979"/>
      <c r="K124" s="979"/>
      <c r="L124" s="979"/>
    </row>
    <row r="125" spans="1:12" ht="16.5">
      <c r="A125" s="976"/>
      <c r="B125" s="977"/>
      <c r="C125" s="978"/>
      <c r="D125" s="976"/>
      <c r="E125" s="976"/>
      <c r="F125" s="979"/>
      <c r="G125" s="979"/>
      <c r="H125" s="979"/>
      <c r="I125" s="979"/>
      <c r="J125" s="979"/>
      <c r="K125" s="979"/>
      <c r="L125" s="979"/>
    </row>
    <row r="126" spans="1:12" ht="16.5">
      <c r="A126" s="976"/>
      <c r="B126" s="977"/>
      <c r="C126" s="978"/>
      <c r="D126" s="976"/>
      <c r="E126" s="976"/>
      <c r="F126" s="979"/>
      <c r="G126" s="979"/>
      <c r="H126" s="979"/>
      <c r="I126" s="979"/>
      <c r="J126" s="979"/>
      <c r="K126" s="979"/>
      <c r="L126" s="979"/>
    </row>
    <row r="127" spans="1:12" ht="16.5">
      <c r="A127" s="976"/>
      <c r="B127" s="977"/>
      <c r="C127" s="978"/>
      <c r="D127" s="976"/>
      <c r="E127" s="976"/>
      <c r="F127" s="979"/>
      <c r="G127" s="979"/>
      <c r="H127" s="979"/>
      <c r="I127" s="979"/>
      <c r="J127" s="979"/>
      <c r="K127" s="979"/>
      <c r="L127" s="979"/>
    </row>
    <row r="128" spans="1:12" ht="16.5">
      <c r="A128" s="976"/>
      <c r="B128" s="977"/>
      <c r="C128" s="978"/>
      <c r="D128" s="976"/>
      <c r="E128" s="976"/>
      <c r="F128" s="979"/>
      <c r="G128" s="979"/>
      <c r="H128" s="979"/>
      <c r="I128" s="979"/>
      <c r="J128" s="979"/>
      <c r="K128" s="979"/>
      <c r="L128" s="979"/>
    </row>
    <row r="129" spans="1:12" ht="16.5">
      <c r="A129" s="976"/>
      <c r="B129" s="977"/>
      <c r="C129" s="978"/>
      <c r="D129" s="976"/>
      <c r="E129" s="976"/>
      <c r="F129" s="979"/>
      <c r="G129" s="979"/>
      <c r="H129" s="979"/>
      <c r="I129" s="979"/>
      <c r="J129" s="979"/>
      <c r="K129" s="979"/>
      <c r="L129" s="979"/>
    </row>
    <row r="130" spans="1:12" ht="16.5">
      <c r="A130" s="976"/>
      <c r="B130" s="977"/>
      <c r="C130" s="978"/>
      <c r="D130" s="976"/>
      <c r="E130" s="976"/>
      <c r="F130" s="979"/>
      <c r="G130" s="979"/>
      <c r="H130" s="979"/>
      <c r="I130" s="979"/>
      <c r="J130" s="979"/>
      <c r="K130" s="979"/>
      <c r="L130" s="979"/>
    </row>
    <row r="131" spans="1:12" ht="16.5">
      <c r="A131" s="976"/>
      <c r="B131" s="977"/>
      <c r="C131" s="978"/>
      <c r="D131" s="976"/>
      <c r="E131" s="976"/>
      <c r="F131" s="979"/>
      <c r="G131" s="979"/>
      <c r="H131" s="979"/>
      <c r="I131" s="979"/>
      <c r="J131" s="979"/>
      <c r="K131" s="979"/>
      <c r="L131" s="979"/>
    </row>
    <row r="132" spans="1:12" ht="16.5">
      <c r="A132" s="976"/>
      <c r="B132" s="977"/>
      <c r="C132" s="978"/>
      <c r="D132" s="976"/>
      <c r="E132" s="976"/>
      <c r="F132" s="979"/>
      <c r="G132" s="979"/>
      <c r="H132" s="979"/>
      <c r="I132" s="979"/>
      <c r="J132" s="979"/>
      <c r="K132" s="979"/>
      <c r="L132" s="979"/>
    </row>
    <row r="133" spans="1:12" ht="16.5">
      <c r="A133" s="976"/>
      <c r="B133" s="977"/>
      <c r="C133" s="978"/>
      <c r="D133" s="976"/>
      <c r="E133" s="976"/>
      <c r="F133" s="979"/>
      <c r="G133" s="979"/>
      <c r="H133" s="979"/>
      <c r="I133" s="979"/>
      <c r="J133" s="979"/>
      <c r="K133" s="979"/>
      <c r="L133" s="979"/>
    </row>
    <row r="134" spans="1:12" ht="16.5">
      <c r="A134" s="976"/>
      <c r="B134" s="977"/>
      <c r="C134" s="978"/>
      <c r="D134" s="976"/>
      <c r="E134" s="976"/>
      <c r="F134" s="979"/>
      <c r="G134" s="979"/>
      <c r="H134" s="979"/>
      <c r="I134" s="979"/>
      <c r="J134" s="979"/>
      <c r="K134" s="979"/>
      <c r="L134" s="979"/>
    </row>
    <row r="135" spans="1:12" ht="16.5">
      <c r="A135" s="976"/>
      <c r="B135" s="977"/>
      <c r="C135" s="978"/>
      <c r="D135" s="976"/>
      <c r="E135" s="976"/>
      <c r="F135" s="979"/>
      <c r="G135" s="979"/>
      <c r="H135" s="979"/>
      <c r="I135" s="979"/>
      <c r="J135" s="979"/>
      <c r="K135" s="979"/>
      <c r="L135" s="979"/>
    </row>
    <row r="136" spans="1:12" ht="16.5">
      <c r="A136" s="976"/>
      <c r="B136" s="977"/>
      <c r="C136" s="978"/>
      <c r="D136" s="976"/>
      <c r="E136" s="976"/>
      <c r="F136" s="979"/>
      <c r="G136" s="979"/>
      <c r="H136" s="979"/>
      <c r="I136" s="979"/>
      <c r="J136" s="979"/>
      <c r="K136" s="979"/>
      <c r="L136" s="979"/>
    </row>
    <row r="137" spans="1:12" ht="16.5">
      <c r="A137" s="976"/>
      <c r="B137" s="977"/>
      <c r="C137" s="978"/>
      <c r="D137" s="976"/>
      <c r="E137" s="976"/>
      <c r="F137" s="979"/>
      <c r="G137" s="979"/>
      <c r="H137" s="979"/>
      <c r="I137" s="979"/>
      <c r="J137" s="979"/>
      <c r="K137" s="979"/>
      <c r="L137" s="979"/>
    </row>
    <row r="138" spans="1:12" ht="16.5">
      <c r="A138" s="976"/>
      <c r="B138" s="977"/>
      <c r="C138" s="978"/>
      <c r="D138" s="976"/>
      <c r="E138" s="976"/>
      <c r="F138" s="979"/>
      <c r="G138" s="979"/>
      <c r="H138" s="979"/>
      <c r="I138" s="979"/>
      <c r="J138" s="979"/>
      <c r="K138" s="979"/>
      <c r="L138" s="979"/>
    </row>
    <row r="139" spans="1:12" ht="16.5">
      <c r="A139" s="976"/>
      <c r="B139" s="977"/>
      <c r="C139" s="978"/>
      <c r="D139" s="976"/>
      <c r="E139" s="976"/>
      <c r="F139" s="979"/>
      <c r="G139" s="979"/>
      <c r="H139" s="979"/>
      <c r="I139" s="979"/>
      <c r="J139" s="979"/>
      <c r="K139" s="979"/>
      <c r="L139" s="979"/>
    </row>
    <row r="140" spans="1:12" ht="16.5">
      <c r="A140" s="976"/>
      <c r="B140" s="977"/>
      <c r="C140" s="978"/>
      <c r="D140" s="976"/>
      <c r="E140" s="976"/>
      <c r="F140" s="979"/>
      <c r="G140" s="979"/>
      <c r="H140" s="979"/>
      <c r="I140" s="979"/>
      <c r="J140" s="979"/>
      <c r="K140" s="979"/>
      <c r="L140" s="979"/>
    </row>
    <row r="141" spans="1:12" ht="16.5">
      <c r="A141" s="976"/>
      <c r="B141" s="977"/>
      <c r="C141" s="978"/>
      <c r="D141" s="976"/>
      <c r="E141" s="976"/>
      <c r="F141" s="979"/>
      <c r="G141" s="979"/>
      <c r="H141" s="979"/>
      <c r="I141" s="979"/>
      <c r="J141" s="979"/>
      <c r="K141" s="979"/>
      <c r="L141" s="979"/>
    </row>
    <row r="142" spans="1:12" ht="16.5">
      <c r="A142" s="976"/>
      <c r="B142" s="977"/>
      <c r="C142" s="978"/>
      <c r="D142" s="976"/>
      <c r="E142" s="976"/>
      <c r="F142" s="979"/>
      <c r="G142" s="979"/>
      <c r="H142" s="979"/>
      <c r="I142" s="979"/>
      <c r="J142" s="979"/>
      <c r="K142" s="979"/>
      <c r="L142" s="979"/>
    </row>
    <row r="143" spans="1:12" ht="16.5">
      <c r="A143" s="976"/>
      <c r="B143" s="977"/>
      <c r="C143" s="978"/>
      <c r="D143" s="976"/>
      <c r="E143" s="976"/>
      <c r="F143" s="979"/>
      <c r="G143" s="979"/>
      <c r="H143" s="979"/>
      <c r="I143" s="979"/>
      <c r="J143" s="979"/>
      <c r="K143" s="979"/>
      <c r="L143" s="979"/>
    </row>
    <row r="144" spans="1:12" ht="16.5">
      <c r="A144" s="976"/>
      <c r="B144" s="977"/>
      <c r="C144" s="978"/>
      <c r="D144" s="976"/>
      <c r="E144" s="976"/>
      <c r="F144" s="979"/>
      <c r="G144" s="979"/>
      <c r="H144" s="979"/>
      <c r="I144" s="979"/>
      <c r="J144" s="979"/>
      <c r="K144" s="979"/>
      <c r="L144" s="979"/>
    </row>
    <row r="145" spans="1:12" ht="16.5">
      <c r="A145" s="976"/>
      <c r="B145" s="977"/>
      <c r="C145" s="978"/>
      <c r="D145" s="976"/>
      <c r="E145" s="976"/>
      <c r="F145" s="979"/>
      <c r="G145" s="979"/>
      <c r="H145" s="979"/>
      <c r="I145" s="979"/>
      <c r="J145" s="979"/>
      <c r="K145" s="979"/>
      <c r="L145" s="979"/>
    </row>
    <row r="146" spans="1:12" ht="16.5">
      <c r="A146" s="976"/>
      <c r="B146" s="977"/>
      <c r="C146" s="978"/>
      <c r="D146" s="976"/>
      <c r="E146" s="976"/>
      <c r="F146" s="979"/>
      <c r="G146" s="979"/>
      <c r="H146" s="979"/>
      <c r="I146" s="979"/>
      <c r="J146" s="979"/>
      <c r="K146" s="979"/>
      <c r="L146" s="979"/>
    </row>
    <row r="147" spans="1:12" ht="16.5">
      <c r="A147" s="976"/>
      <c r="B147" s="977"/>
      <c r="C147" s="978"/>
      <c r="D147" s="976"/>
      <c r="E147" s="976"/>
      <c r="F147" s="979"/>
      <c r="G147" s="979"/>
      <c r="H147" s="979"/>
      <c r="I147" s="979"/>
      <c r="J147" s="979"/>
      <c r="K147" s="979"/>
      <c r="L147" s="979"/>
    </row>
    <row r="148" spans="1:12" ht="16.5">
      <c r="A148" s="976"/>
      <c r="B148" s="977"/>
      <c r="C148" s="978"/>
      <c r="D148" s="976"/>
      <c r="E148" s="976"/>
      <c r="F148" s="979"/>
      <c r="G148" s="979"/>
      <c r="H148" s="979"/>
      <c r="I148" s="979"/>
      <c r="J148" s="979"/>
      <c r="K148" s="979"/>
      <c r="L148" s="979"/>
    </row>
    <row r="149" spans="1:12" ht="16.5">
      <c r="A149" s="976"/>
      <c r="B149" s="977"/>
      <c r="C149" s="978"/>
      <c r="D149" s="976"/>
      <c r="E149" s="976"/>
      <c r="F149" s="979"/>
      <c r="G149" s="979"/>
      <c r="H149" s="979"/>
      <c r="I149" s="979"/>
      <c r="J149" s="979"/>
      <c r="K149" s="979"/>
      <c r="L149" s="979"/>
    </row>
    <row r="150" spans="1:12" ht="16.5">
      <c r="A150" s="976"/>
      <c r="B150" s="977"/>
      <c r="C150" s="978"/>
      <c r="D150" s="976"/>
      <c r="E150" s="976"/>
      <c r="F150" s="979"/>
      <c r="G150" s="979"/>
      <c r="H150" s="979"/>
      <c r="I150" s="979"/>
      <c r="J150" s="979"/>
      <c r="K150" s="979"/>
      <c r="L150" s="979"/>
    </row>
    <row r="151" spans="1:12" ht="16.5">
      <c r="A151" s="976"/>
      <c r="B151" s="977"/>
      <c r="C151" s="978"/>
      <c r="D151" s="976"/>
      <c r="E151" s="976"/>
      <c r="F151" s="979"/>
      <c r="G151" s="979"/>
      <c r="H151" s="979"/>
      <c r="I151" s="979"/>
      <c r="J151" s="979"/>
      <c r="K151" s="979"/>
      <c r="L151" s="979"/>
    </row>
    <row r="152" spans="1:12" ht="16.5">
      <c r="A152" s="976"/>
      <c r="B152" s="977"/>
      <c r="C152" s="978"/>
      <c r="D152" s="976"/>
      <c r="E152" s="976"/>
      <c r="F152" s="979"/>
      <c r="G152" s="979"/>
      <c r="H152" s="979"/>
      <c r="I152" s="979"/>
      <c r="J152" s="979"/>
      <c r="K152" s="979"/>
      <c r="L152" s="979"/>
    </row>
    <row r="153" spans="1:12" ht="16.5">
      <c r="A153" s="976"/>
      <c r="B153" s="977"/>
      <c r="C153" s="978"/>
      <c r="D153" s="976"/>
      <c r="E153" s="976"/>
      <c r="F153" s="979"/>
      <c r="G153" s="979"/>
      <c r="H153" s="979"/>
      <c r="I153" s="979"/>
      <c r="J153" s="979"/>
      <c r="K153" s="979"/>
      <c r="L153" s="979"/>
    </row>
    <row r="154" spans="1:12" ht="16.5">
      <c r="A154" s="976"/>
      <c r="B154" s="977"/>
      <c r="C154" s="978"/>
      <c r="D154" s="976"/>
      <c r="E154" s="976"/>
      <c r="F154" s="979"/>
      <c r="G154" s="979"/>
      <c r="H154" s="979"/>
      <c r="I154" s="979"/>
      <c r="J154" s="979"/>
      <c r="K154" s="979"/>
      <c r="L154" s="979"/>
    </row>
    <row r="155" spans="1:12" ht="16.5">
      <c r="A155" s="976"/>
      <c r="B155" s="977"/>
      <c r="C155" s="978"/>
      <c r="D155" s="976"/>
      <c r="E155" s="976"/>
      <c r="F155" s="979"/>
      <c r="G155" s="979"/>
      <c r="H155" s="979"/>
      <c r="I155" s="979"/>
      <c r="J155" s="979"/>
      <c r="K155" s="979"/>
      <c r="L155" s="979"/>
    </row>
    <row r="156" spans="1:12" ht="16.5">
      <c r="A156" s="976"/>
      <c r="B156" s="977"/>
      <c r="C156" s="978"/>
      <c r="D156" s="976"/>
      <c r="E156" s="976"/>
      <c r="F156" s="979"/>
      <c r="G156" s="979"/>
      <c r="H156" s="979"/>
      <c r="I156" s="979"/>
      <c r="J156" s="979"/>
      <c r="K156" s="979"/>
      <c r="L156" s="979"/>
    </row>
    <row r="157" spans="1:12" ht="16.5">
      <c r="A157" s="976"/>
      <c r="B157" s="977"/>
      <c r="C157" s="978"/>
      <c r="D157" s="976"/>
      <c r="E157" s="976"/>
      <c r="F157" s="979"/>
      <c r="G157" s="979"/>
      <c r="H157" s="979"/>
      <c r="I157" s="979"/>
      <c r="J157" s="979"/>
      <c r="K157" s="979"/>
      <c r="L157" s="979"/>
    </row>
    <row r="158" spans="1:12" ht="16.5">
      <c r="A158" s="976"/>
      <c r="B158" s="977"/>
      <c r="C158" s="978"/>
      <c r="D158" s="976"/>
      <c r="E158" s="976"/>
      <c r="F158" s="979"/>
      <c r="G158" s="979"/>
      <c r="H158" s="979"/>
      <c r="I158" s="979"/>
      <c r="J158" s="979"/>
      <c r="K158" s="979"/>
      <c r="L158" s="979"/>
    </row>
    <row r="159" spans="1:12" ht="16.5">
      <c r="A159" s="976"/>
      <c r="B159" s="977"/>
      <c r="C159" s="978"/>
      <c r="D159" s="976"/>
      <c r="E159" s="976"/>
      <c r="F159" s="979"/>
      <c r="G159" s="979"/>
      <c r="H159" s="979"/>
      <c r="I159" s="979"/>
      <c r="J159" s="979"/>
      <c r="K159" s="979"/>
      <c r="L159" s="979"/>
    </row>
    <row r="160" spans="1:12" ht="16.5">
      <c r="A160" s="976"/>
      <c r="B160" s="977"/>
      <c r="C160" s="978"/>
      <c r="D160" s="976"/>
      <c r="E160" s="976"/>
      <c r="F160" s="979"/>
      <c r="G160" s="979"/>
      <c r="H160" s="979"/>
      <c r="I160" s="979"/>
      <c r="J160" s="979"/>
      <c r="K160" s="979"/>
      <c r="L160" s="979"/>
    </row>
    <row r="161" spans="1:12" ht="16.5">
      <c r="A161" s="976"/>
      <c r="B161" s="977"/>
      <c r="C161" s="978"/>
      <c r="D161" s="976"/>
      <c r="E161" s="976"/>
      <c r="F161" s="979"/>
      <c r="G161" s="979"/>
      <c r="H161" s="979"/>
      <c r="I161" s="979"/>
      <c r="J161" s="979"/>
      <c r="K161" s="979"/>
      <c r="L161" s="979"/>
    </row>
    <row r="162" spans="1:12" ht="16.5">
      <c r="A162" s="976"/>
      <c r="B162" s="977"/>
      <c r="C162" s="978"/>
      <c r="D162" s="976"/>
      <c r="E162" s="976"/>
      <c r="F162" s="979"/>
      <c r="G162" s="979"/>
      <c r="H162" s="979"/>
      <c r="I162" s="979"/>
      <c r="J162" s="979"/>
      <c r="K162" s="979"/>
      <c r="L162" s="979"/>
    </row>
    <row r="163" spans="1:12" ht="16.5">
      <c r="A163" s="976"/>
      <c r="B163" s="977"/>
      <c r="C163" s="978"/>
      <c r="D163" s="976"/>
      <c r="E163" s="976"/>
      <c r="F163" s="979"/>
      <c r="G163" s="979"/>
      <c r="H163" s="979"/>
      <c r="I163" s="979"/>
      <c r="J163" s="979"/>
      <c r="K163" s="979"/>
      <c r="L163" s="979"/>
    </row>
    <row r="164" spans="1:12" ht="16.5">
      <c r="A164" s="976"/>
      <c r="B164" s="977"/>
      <c r="C164" s="978"/>
      <c r="D164" s="976"/>
      <c r="E164" s="976"/>
      <c r="F164" s="979"/>
      <c r="G164" s="979"/>
      <c r="H164" s="979"/>
      <c r="I164" s="979"/>
      <c r="J164" s="979"/>
      <c r="K164" s="979"/>
      <c r="L164" s="979"/>
    </row>
    <row r="165" spans="1:12" ht="16.5">
      <c r="A165" s="976"/>
      <c r="B165" s="977"/>
      <c r="C165" s="978"/>
      <c r="D165" s="976"/>
      <c r="E165" s="976"/>
      <c r="F165" s="979"/>
      <c r="G165" s="979"/>
      <c r="H165" s="979"/>
      <c r="I165" s="979"/>
      <c r="J165" s="979"/>
      <c r="K165" s="979"/>
      <c r="L165" s="979"/>
    </row>
    <row r="166" spans="1:12" ht="16.5">
      <c r="A166" s="976"/>
      <c r="B166" s="977"/>
      <c r="C166" s="978"/>
      <c r="D166" s="976"/>
      <c r="E166" s="976"/>
      <c r="F166" s="979"/>
      <c r="G166" s="979"/>
      <c r="H166" s="979"/>
      <c r="I166" s="979"/>
      <c r="J166" s="979"/>
      <c r="K166" s="979"/>
      <c r="L166" s="979"/>
    </row>
    <row r="167" spans="1:12" ht="16.5">
      <c r="A167" s="976"/>
      <c r="B167" s="977"/>
      <c r="C167" s="978"/>
      <c r="D167" s="976"/>
      <c r="E167" s="976"/>
      <c r="F167" s="979"/>
      <c r="G167" s="979"/>
      <c r="H167" s="979"/>
      <c r="I167" s="979"/>
      <c r="J167" s="979"/>
      <c r="K167" s="979"/>
      <c r="L167" s="979"/>
    </row>
    <row r="168" spans="1:12" ht="16.5">
      <c r="A168" s="976"/>
      <c r="B168" s="977"/>
      <c r="C168" s="978"/>
      <c r="D168" s="976"/>
      <c r="E168" s="976"/>
      <c r="F168" s="979"/>
      <c r="G168" s="979"/>
      <c r="H168" s="979"/>
      <c r="I168" s="979"/>
      <c r="J168" s="979"/>
      <c r="K168" s="979"/>
      <c r="L168" s="979"/>
    </row>
    <row r="169" spans="1:12" ht="16.5">
      <c r="A169" s="976"/>
      <c r="B169" s="977"/>
      <c r="C169" s="978"/>
      <c r="D169" s="976"/>
      <c r="E169" s="976"/>
      <c r="F169" s="979"/>
      <c r="G169" s="979"/>
      <c r="H169" s="979"/>
      <c r="I169" s="979"/>
      <c r="J169" s="979"/>
      <c r="K169" s="979"/>
      <c r="L169" s="979"/>
    </row>
    <row r="170" spans="1:12" ht="16.5">
      <c r="A170" s="976"/>
      <c r="B170" s="977"/>
      <c r="C170" s="978"/>
      <c r="D170" s="976"/>
      <c r="E170" s="976"/>
      <c r="F170" s="979"/>
      <c r="G170" s="979"/>
      <c r="H170" s="979"/>
      <c r="I170" s="979"/>
      <c r="J170" s="979"/>
      <c r="K170" s="979"/>
      <c r="L170" s="979"/>
    </row>
    <row r="171" spans="1:12" ht="16.5">
      <c r="A171" s="976"/>
      <c r="B171" s="977"/>
      <c r="C171" s="978"/>
      <c r="D171" s="976"/>
      <c r="E171" s="976"/>
      <c r="F171" s="979"/>
      <c r="G171" s="979"/>
      <c r="H171" s="979"/>
      <c r="I171" s="979"/>
      <c r="J171" s="979"/>
      <c r="K171" s="979"/>
      <c r="L171" s="979"/>
    </row>
    <row r="172" spans="1:12" ht="16.5">
      <c r="A172" s="976"/>
      <c r="B172" s="977"/>
      <c r="C172" s="978"/>
      <c r="D172" s="976"/>
      <c r="E172" s="976"/>
      <c r="F172" s="979"/>
      <c r="G172" s="979"/>
      <c r="H172" s="979"/>
      <c r="I172" s="979"/>
      <c r="J172" s="979"/>
      <c r="K172" s="979"/>
      <c r="L172" s="979"/>
    </row>
    <row r="173" spans="1:12" ht="16.5">
      <c r="A173" s="976"/>
      <c r="B173" s="977"/>
      <c r="C173" s="978"/>
      <c r="D173" s="976"/>
      <c r="E173" s="976"/>
      <c r="F173" s="979"/>
      <c r="G173" s="979"/>
      <c r="H173" s="979"/>
      <c r="I173" s="979"/>
      <c r="J173" s="979"/>
      <c r="K173" s="979"/>
      <c r="L173" s="979"/>
    </row>
    <row r="174" spans="1:12" ht="16.5">
      <c r="A174" s="976"/>
      <c r="B174" s="977"/>
      <c r="C174" s="978"/>
      <c r="D174" s="976"/>
      <c r="E174" s="976"/>
      <c r="F174" s="979"/>
      <c r="G174" s="979"/>
      <c r="H174" s="979"/>
      <c r="I174" s="979"/>
      <c r="J174" s="979"/>
      <c r="K174" s="979"/>
      <c r="L174" s="979"/>
    </row>
    <row r="175" spans="1:12" ht="16.5">
      <c r="A175" s="976"/>
      <c r="B175" s="977"/>
      <c r="C175" s="978"/>
      <c r="D175" s="976"/>
      <c r="E175" s="976"/>
      <c r="F175" s="979"/>
      <c r="G175" s="979"/>
      <c r="H175" s="979"/>
      <c r="I175" s="979"/>
      <c r="J175" s="979"/>
      <c r="K175" s="979"/>
      <c r="L175" s="979"/>
    </row>
    <row r="176" spans="1:12" ht="16.5">
      <c r="A176" s="976"/>
      <c r="B176" s="977"/>
      <c r="C176" s="978"/>
      <c r="D176" s="976"/>
      <c r="E176" s="976"/>
      <c r="F176" s="979"/>
      <c r="G176" s="979"/>
      <c r="H176" s="979"/>
      <c r="I176" s="979"/>
      <c r="J176" s="979"/>
      <c r="K176" s="979"/>
      <c r="L176" s="979"/>
    </row>
    <row r="177" spans="1:12" ht="16.5">
      <c r="A177" s="976"/>
      <c r="B177" s="977"/>
      <c r="C177" s="978"/>
      <c r="D177" s="976"/>
      <c r="E177" s="976"/>
      <c r="F177" s="979"/>
      <c r="G177" s="979"/>
      <c r="H177" s="979"/>
      <c r="I177" s="979"/>
      <c r="J177" s="979"/>
      <c r="K177" s="979"/>
      <c r="L177" s="979"/>
    </row>
    <row r="178" spans="1:12" ht="16.5">
      <c r="A178" s="976"/>
      <c r="B178" s="977"/>
      <c r="C178" s="978"/>
      <c r="D178" s="976"/>
      <c r="E178" s="976"/>
      <c r="F178" s="979"/>
      <c r="G178" s="979"/>
      <c r="H178" s="979"/>
      <c r="I178" s="979"/>
      <c r="J178" s="979"/>
      <c r="K178" s="979"/>
      <c r="L178" s="979"/>
    </row>
    <row r="179" spans="1:12" ht="16.5">
      <c r="A179" s="976"/>
      <c r="B179" s="977"/>
      <c r="C179" s="978"/>
      <c r="D179" s="976"/>
      <c r="E179" s="976"/>
      <c r="F179" s="979"/>
      <c r="G179" s="979"/>
      <c r="H179" s="979"/>
      <c r="I179" s="979"/>
      <c r="J179" s="979"/>
      <c r="K179" s="979"/>
      <c r="L179" s="979"/>
    </row>
    <row r="180" spans="1:12" ht="16.5">
      <c r="A180" s="976"/>
      <c r="B180" s="977"/>
      <c r="C180" s="978"/>
      <c r="D180" s="976"/>
      <c r="E180" s="976"/>
      <c r="F180" s="979"/>
      <c r="G180" s="979"/>
      <c r="H180" s="979"/>
      <c r="I180" s="979"/>
      <c r="J180" s="979"/>
      <c r="K180" s="979"/>
      <c r="L180" s="979"/>
    </row>
    <row r="181" spans="1:12" ht="16.5">
      <c r="A181" s="976"/>
      <c r="B181" s="977"/>
      <c r="C181" s="978"/>
      <c r="D181" s="976"/>
      <c r="E181" s="976"/>
      <c r="F181" s="979"/>
      <c r="G181" s="979"/>
      <c r="H181" s="979"/>
      <c r="I181" s="979"/>
      <c r="J181" s="979"/>
      <c r="K181" s="979"/>
      <c r="L181" s="979"/>
    </row>
    <row r="182" spans="1:12" ht="16.5">
      <c r="A182" s="976"/>
      <c r="B182" s="977"/>
      <c r="C182" s="978"/>
      <c r="D182" s="976"/>
      <c r="E182" s="976"/>
      <c r="F182" s="979"/>
      <c r="G182" s="979"/>
      <c r="H182" s="979"/>
      <c r="I182" s="979"/>
      <c r="J182" s="979"/>
      <c r="K182" s="979"/>
      <c r="L182" s="979"/>
    </row>
    <row r="183" spans="1:12" ht="16.5">
      <c r="A183" s="976"/>
      <c r="B183" s="977"/>
      <c r="C183" s="978"/>
      <c r="D183" s="976"/>
      <c r="E183" s="976"/>
      <c r="F183" s="979"/>
      <c r="G183" s="979"/>
      <c r="H183" s="979"/>
      <c r="I183" s="979"/>
      <c r="J183" s="979"/>
      <c r="K183" s="979"/>
      <c r="L183" s="979"/>
    </row>
    <row r="184" spans="1:12" ht="16.5">
      <c r="A184" s="976"/>
      <c r="B184" s="977"/>
      <c r="C184" s="978"/>
      <c r="D184" s="976"/>
      <c r="E184" s="976"/>
      <c r="F184" s="979"/>
      <c r="G184" s="979"/>
      <c r="H184" s="979"/>
      <c r="I184" s="979"/>
      <c r="J184" s="979"/>
      <c r="K184" s="979"/>
      <c r="L184" s="979"/>
    </row>
    <row r="185" spans="1:12" ht="16.5">
      <c r="A185" s="976"/>
      <c r="B185" s="977"/>
      <c r="C185" s="978"/>
      <c r="D185" s="976"/>
      <c r="E185" s="976"/>
      <c r="F185" s="979"/>
      <c r="G185" s="979"/>
      <c r="H185" s="979"/>
      <c r="I185" s="979"/>
      <c r="J185" s="979"/>
      <c r="K185" s="979"/>
      <c r="L185" s="979"/>
    </row>
    <row r="186" spans="1:12" ht="16.5">
      <c r="A186" s="976"/>
      <c r="B186" s="977"/>
      <c r="C186" s="978"/>
      <c r="D186" s="976"/>
      <c r="E186" s="976"/>
      <c r="F186" s="979"/>
      <c r="G186" s="979"/>
      <c r="H186" s="979"/>
      <c r="I186" s="979"/>
      <c r="J186" s="979"/>
      <c r="K186" s="979"/>
      <c r="L186" s="979"/>
    </row>
    <row r="187" spans="1:12" ht="16.5">
      <c r="A187" s="976"/>
      <c r="B187" s="977"/>
      <c r="C187" s="978"/>
      <c r="D187" s="976"/>
      <c r="E187" s="976"/>
      <c r="F187" s="979"/>
      <c r="G187" s="979"/>
      <c r="H187" s="979"/>
      <c r="I187" s="979"/>
      <c r="J187" s="979"/>
      <c r="K187" s="979"/>
      <c r="L187" s="979"/>
    </row>
    <row r="188" spans="1:12" ht="16.5">
      <c r="A188" s="976"/>
      <c r="B188" s="977"/>
      <c r="C188" s="978"/>
      <c r="D188" s="976"/>
      <c r="E188" s="976"/>
      <c r="F188" s="979"/>
      <c r="G188" s="979"/>
      <c r="H188" s="979"/>
      <c r="I188" s="979"/>
      <c r="J188" s="979"/>
      <c r="K188" s="979"/>
      <c r="L188" s="979"/>
    </row>
    <row r="189" spans="1:12" ht="16.5">
      <c r="A189" s="976"/>
      <c r="B189" s="977"/>
      <c r="C189" s="978"/>
      <c r="D189" s="976"/>
      <c r="E189" s="976"/>
      <c r="F189" s="979"/>
      <c r="G189" s="979"/>
      <c r="H189" s="979"/>
      <c r="I189" s="979"/>
      <c r="J189" s="979"/>
      <c r="K189" s="979"/>
      <c r="L189" s="979"/>
    </row>
    <row r="190" spans="1:12" ht="16.5">
      <c r="A190" s="976"/>
      <c r="B190" s="977"/>
      <c r="C190" s="978"/>
      <c r="D190" s="976"/>
      <c r="E190" s="976"/>
      <c r="F190" s="979"/>
      <c r="G190" s="979"/>
      <c r="H190" s="979"/>
      <c r="I190" s="979"/>
      <c r="J190" s="979"/>
      <c r="K190" s="979"/>
      <c r="L190" s="979"/>
    </row>
    <row r="191" spans="1:12" ht="16.5">
      <c r="A191" s="976"/>
      <c r="B191" s="977"/>
      <c r="C191" s="978"/>
      <c r="D191" s="976"/>
      <c r="E191" s="976"/>
      <c r="F191" s="979"/>
      <c r="G191" s="979"/>
      <c r="H191" s="979"/>
      <c r="I191" s="979"/>
      <c r="J191" s="979"/>
      <c r="K191" s="979"/>
      <c r="L191" s="979"/>
    </row>
    <row r="192" spans="1:12" ht="16.5">
      <c r="A192" s="976"/>
      <c r="B192" s="977"/>
      <c r="C192" s="978"/>
      <c r="D192" s="976"/>
      <c r="E192" s="976"/>
      <c r="F192" s="979"/>
      <c r="G192" s="979"/>
      <c r="H192" s="979"/>
      <c r="I192" s="979"/>
      <c r="J192" s="979"/>
      <c r="K192" s="979"/>
      <c r="L192" s="979"/>
    </row>
    <row r="193" spans="1:12" ht="16.5">
      <c r="A193" s="976"/>
      <c r="B193" s="977"/>
      <c r="C193" s="978"/>
      <c r="D193" s="976"/>
      <c r="E193" s="976"/>
      <c r="F193" s="979"/>
      <c r="G193" s="979"/>
      <c r="H193" s="979"/>
      <c r="I193" s="979"/>
      <c r="J193" s="979"/>
      <c r="K193" s="979"/>
      <c r="L193" s="979"/>
    </row>
    <row r="194" spans="1:12" ht="16.5">
      <c r="A194" s="976"/>
      <c r="B194" s="977"/>
      <c r="C194" s="978"/>
      <c r="D194" s="976"/>
      <c r="E194" s="976"/>
      <c r="F194" s="979"/>
      <c r="G194" s="979"/>
      <c r="H194" s="979"/>
      <c r="I194" s="979"/>
      <c r="J194" s="979"/>
      <c r="K194" s="979"/>
      <c r="L194" s="979"/>
    </row>
    <row r="195" spans="1:12" ht="16.5">
      <c r="A195" s="976"/>
      <c r="B195" s="977"/>
      <c r="C195" s="978"/>
      <c r="D195" s="976"/>
      <c r="E195" s="976"/>
      <c r="F195" s="979"/>
      <c r="G195" s="979"/>
      <c r="H195" s="979"/>
      <c r="I195" s="979"/>
      <c r="J195" s="979"/>
      <c r="K195" s="979"/>
      <c r="L195" s="979"/>
    </row>
    <row r="196" spans="1:12" ht="16.5">
      <c r="A196" s="976"/>
      <c r="B196" s="977"/>
      <c r="C196" s="978"/>
      <c r="D196" s="976"/>
      <c r="E196" s="976"/>
      <c r="F196" s="979"/>
      <c r="G196" s="979"/>
      <c r="H196" s="979"/>
      <c r="I196" s="979"/>
      <c r="J196" s="979"/>
      <c r="K196" s="979"/>
      <c r="L196" s="979"/>
    </row>
    <row r="197" spans="1:12" ht="16.5">
      <c r="A197" s="976"/>
      <c r="B197" s="977"/>
      <c r="C197" s="978"/>
      <c r="D197" s="976"/>
      <c r="E197" s="976"/>
      <c r="F197" s="979"/>
      <c r="G197" s="979"/>
      <c r="H197" s="979"/>
      <c r="I197" s="979"/>
      <c r="J197" s="979"/>
      <c r="K197" s="979"/>
      <c r="L197" s="979"/>
    </row>
    <row r="198" spans="1:12" ht="16.5">
      <c r="A198" s="976"/>
      <c r="B198" s="977"/>
      <c r="C198" s="978"/>
      <c r="D198" s="976"/>
      <c r="E198" s="976"/>
      <c r="F198" s="979"/>
      <c r="G198" s="979"/>
      <c r="H198" s="979"/>
      <c r="I198" s="979"/>
      <c r="J198" s="979"/>
      <c r="K198" s="979"/>
      <c r="L198" s="979"/>
    </row>
    <row r="199" spans="1:12" ht="16.5">
      <c r="A199" s="976"/>
      <c r="B199" s="977"/>
      <c r="C199" s="978"/>
      <c r="D199" s="976"/>
      <c r="E199" s="976"/>
      <c r="F199" s="979"/>
      <c r="G199" s="979"/>
      <c r="H199" s="979"/>
      <c r="I199" s="979"/>
      <c r="J199" s="979"/>
      <c r="K199" s="979"/>
      <c r="L199" s="979"/>
    </row>
    <row r="200" spans="1:12" ht="16.5">
      <c r="A200" s="976"/>
      <c r="B200" s="977"/>
      <c r="C200" s="978"/>
      <c r="D200" s="976"/>
      <c r="E200" s="976"/>
      <c r="F200" s="979"/>
      <c r="G200" s="979"/>
      <c r="H200" s="979"/>
      <c r="I200" s="979"/>
      <c r="J200" s="979"/>
      <c r="K200" s="979"/>
      <c r="L200" s="979"/>
    </row>
    <row r="201" spans="1:12" ht="16.5">
      <c r="A201" s="976"/>
      <c r="B201" s="977"/>
      <c r="C201" s="978"/>
      <c r="D201" s="976"/>
      <c r="E201" s="976"/>
      <c r="F201" s="979"/>
      <c r="G201" s="979"/>
      <c r="H201" s="979"/>
      <c r="I201" s="979"/>
      <c r="J201" s="979"/>
      <c r="K201" s="979"/>
      <c r="L201" s="979"/>
    </row>
    <row r="202" spans="1:12" ht="16.5">
      <c r="A202" s="976"/>
      <c r="B202" s="977"/>
      <c r="C202" s="978"/>
      <c r="D202" s="976"/>
      <c r="E202" s="976"/>
      <c r="F202" s="979"/>
      <c r="G202" s="979"/>
      <c r="H202" s="979"/>
      <c r="I202" s="979"/>
      <c r="J202" s="979"/>
      <c r="K202" s="979"/>
      <c r="L202" s="979"/>
    </row>
    <row r="203" spans="1:12" ht="16.5">
      <c r="A203" s="976"/>
      <c r="B203" s="977"/>
      <c r="C203" s="978"/>
      <c r="D203" s="976"/>
      <c r="E203" s="976"/>
      <c r="F203" s="979"/>
      <c r="G203" s="979"/>
      <c r="H203" s="979"/>
      <c r="I203" s="979"/>
      <c r="J203" s="979"/>
      <c r="K203" s="979"/>
      <c r="L203" s="979"/>
    </row>
    <row r="204" spans="1:12" ht="16.5">
      <c r="A204" s="976"/>
      <c r="B204" s="977"/>
      <c r="C204" s="978"/>
      <c r="D204" s="976"/>
      <c r="E204" s="976"/>
      <c r="F204" s="979"/>
      <c r="G204" s="979"/>
      <c r="H204" s="979"/>
      <c r="I204" s="979"/>
      <c r="J204" s="979"/>
      <c r="K204" s="979"/>
      <c r="L204" s="979"/>
    </row>
    <row r="205" spans="1:12" ht="16.5">
      <c r="A205" s="976"/>
      <c r="B205" s="977"/>
      <c r="C205" s="978"/>
      <c r="D205" s="976"/>
      <c r="E205" s="976"/>
      <c r="F205" s="979"/>
      <c r="G205" s="979"/>
      <c r="H205" s="979"/>
      <c r="I205" s="979"/>
      <c r="J205" s="979"/>
      <c r="K205" s="979"/>
      <c r="L205" s="979"/>
    </row>
    <row r="206" spans="1:12" ht="16.5">
      <c r="A206" s="976"/>
      <c r="B206" s="977"/>
      <c r="C206" s="978"/>
      <c r="D206" s="976"/>
      <c r="E206" s="976"/>
      <c r="F206" s="979"/>
      <c r="G206" s="979"/>
      <c r="H206" s="979"/>
      <c r="I206" s="979"/>
      <c r="J206" s="979"/>
      <c r="K206" s="979"/>
      <c r="L206" s="979"/>
    </row>
    <row r="207" spans="1:12" ht="16.5">
      <c r="A207" s="976"/>
      <c r="B207" s="977"/>
      <c r="C207" s="978"/>
      <c r="D207" s="976"/>
      <c r="E207" s="976"/>
      <c r="F207" s="979"/>
      <c r="G207" s="979"/>
      <c r="H207" s="979"/>
      <c r="I207" s="979"/>
      <c r="J207" s="979"/>
      <c r="K207" s="979"/>
      <c r="L207" s="979"/>
    </row>
    <row r="208" spans="1:12" ht="16.5">
      <c r="A208" s="976"/>
      <c r="B208" s="977"/>
      <c r="C208" s="978"/>
      <c r="D208" s="976"/>
      <c r="E208" s="976"/>
      <c r="F208" s="979"/>
      <c r="G208" s="979"/>
      <c r="H208" s="979"/>
      <c r="I208" s="979"/>
      <c r="J208" s="979"/>
      <c r="K208" s="979"/>
      <c r="L208" s="979"/>
    </row>
    <row r="209" spans="1:12" ht="16.5">
      <c r="A209" s="976"/>
      <c r="B209" s="977"/>
      <c r="C209" s="978"/>
      <c r="D209" s="976"/>
      <c r="E209" s="976"/>
      <c r="F209" s="979"/>
      <c r="G209" s="979"/>
      <c r="H209" s="979"/>
      <c r="I209" s="979"/>
      <c r="J209" s="979"/>
      <c r="K209" s="979"/>
      <c r="L209" s="979"/>
    </row>
    <row r="210" spans="1:12" ht="16.5">
      <c r="A210" s="976"/>
      <c r="B210" s="977"/>
      <c r="C210" s="978"/>
      <c r="D210" s="976"/>
      <c r="E210" s="976"/>
      <c r="F210" s="979"/>
      <c r="G210" s="979"/>
      <c r="H210" s="979"/>
      <c r="I210" s="979"/>
      <c r="J210" s="979"/>
      <c r="K210" s="979"/>
      <c r="L210" s="979"/>
    </row>
    <row r="211" spans="1:12" ht="16.5">
      <c r="A211" s="976"/>
      <c r="B211" s="977"/>
      <c r="C211" s="978"/>
      <c r="D211" s="976"/>
      <c r="E211" s="976"/>
      <c r="F211" s="979"/>
      <c r="G211" s="979"/>
      <c r="H211" s="979"/>
      <c r="I211" s="979"/>
      <c r="J211" s="979"/>
      <c r="K211" s="979"/>
      <c r="L211" s="979"/>
    </row>
    <row r="212" spans="1:12" ht="16.5">
      <c r="A212" s="976"/>
      <c r="B212" s="977"/>
      <c r="C212" s="978"/>
      <c r="D212" s="976"/>
      <c r="E212" s="976"/>
      <c r="F212" s="979"/>
      <c r="G212" s="979"/>
      <c r="H212" s="979"/>
      <c r="I212" s="979"/>
      <c r="J212" s="979"/>
      <c r="K212" s="979"/>
      <c r="L212" s="979"/>
    </row>
    <row r="213" spans="1:12" ht="16.5">
      <c r="A213" s="976"/>
      <c r="B213" s="977"/>
      <c r="C213" s="978"/>
      <c r="D213" s="976"/>
      <c r="E213" s="976"/>
      <c r="F213" s="979"/>
      <c r="G213" s="979"/>
      <c r="H213" s="979"/>
      <c r="I213" s="979"/>
      <c r="J213" s="979"/>
      <c r="K213" s="979"/>
      <c r="L213" s="979"/>
    </row>
    <row r="214" spans="1:12" ht="16.5">
      <c r="A214" s="976"/>
      <c r="B214" s="977"/>
      <c r="C214" s="978"/>
      <c r="D214" s="976"/>
      <c r="E214" s="976"/>
      <c r="F214" s="979"/>
      <c r="G214" s="979"/>
      <c r="H214" s="979"/>
      <c r="I214" s="979"/>
      <c r="J214" s="979"/>
      <c r="K214" s="979"/>
      <c r="L214" s="979"/>
    </row>
    <row r="215" spans="1:12" ht="16.5">
      <c r="A215" s="976"/>
      <c r="B215" s="977"/>
      <c r="C215" s="978"/>
      <c r="D215" s="976"/>
      <c r="E215" s="976"/>
      <c r="F215" s="979"/>
      <c r="G215" s="979"/>
      <c r="H215" s="979"/>
      <c r="I215" s="979"/>
      <c r="J215" s="979"/>
      <c r="K215" s="979"/>
      <c r="L215" s="979"/>
    </row>
    <row r="216" spans="1:12" ht="16.5">
      <c r="A216" s="976"/>
      <c r="B216" s="977"/>
      <c r="C216" s="978"/>
      <c r="D216" s="976"/>
      <c r="E216" s="976"/>
      <c r="F216" s="979"/>
      <c r="G216" s="979"/>
      <c r="H216" s="979"/>
      <c r="I216" s="979"/>
      <c r="J216" s="979"/>
      <c r="K216" s="979"/>
      <c r="L216" s="979"/>
    </row>
    <row r="217" spans="1:12" ht="16.5">
      <c r="A217" s="976"/>
      <c r="B217" s="977"/>
      <c r="C217" s="978"/>
      <c r="D217" s="976"/>
      <c r="E217" s="976"/>
      <c r="F217" s="979"/>
      <c r="G217" s="979"/>
      <c r="H217" s="979"/>
      <c r="I217" s="979"/>
      <c r="J217" s="979"/>
      <c r="K217" s="979"/>
      <c r="L217" s="979"/>
    </row>
    <row r="218" spans="1:12" ht="16.5">
      <c r="A218" s="976"/>
      <c r="B218" s="977"/>
      <c r="C218" s="978"/>
      <c r="D218" s="976"/>
      <c r="E218" s="976"/>
      <c r="F218" s="979"/>
      <c r="G218" s="979"/>
      <c r="H218" s="979"/>
      <c r="I218" s="979"/>
      <c r="J218" s="979"/>
      <c r="K218" s="979"/>
      <c r="L218" s="979"/>
    </row>
    <row r="219" spans="1:12" ht="16.5">
      <c r="A219" s="976"/>
      <c r="B219" s="977"/>
      <c r="C219" s="978"/>
      <c r="D219" s="976"/>
      <c r="E219" s="976"/>
      <c r="F219" s="979"/>
      <c r="G219" s="979"/>
      <c r="H219" s="979"/>
      <c r="I219" s="979"/>
      <c r="J219" s="979"/>
      <c r="K219" s="979"/>
      <c r="L219" s="979"/>
    </row>
    <row r="220" spans="1:12" ht="16.5">
      <c r="A220" s="976"/>
      <c r="B220" s="977"/>
      <c r="C220" s="978"/>
      <c r="D220" s="976"/>
      <c r="E220" s="976"/>
      <c r="F220" s="979"/>
      <c r="G220" s="979"/>
      <c r="H220" s="979"/>
      <c r="I220" s="979"/>
      <c r="J220" s="979"/>
      <c r="K220" s="979"/>
      <c r="L220" s="979"/>
    </row>
    <row r="221" spans="1:12" ht="16.5">
      <c r="A221" s="976"/>
      <c r="B221" s="977"/>
      <c r="C221" s="978"/>
      <c r="D221" s="976"/>
      <c r="E221" s="976"/>
      <c r="F221" s="979"/>
      <c r="G221" s="979"/>
      <c r="H221" s="979"/>
      <c r="I221" s="979"/>
      <c r="J221" s="979"/>
      <c r="K221" s="979"/>
      <c r="L221" s="979"/>
    </row>
    <row r="222" spans="1:12" ht="16.5">
      <c r="A222" s="976"/>
      <c r="B222" s="977"/>
      <c r="C222" s="978"/>
      <c r="D222" s="976"/>
      <c r="E222" s="976"/>
      <c r="F222" s="979"/>
      <c r="G222" s="979"/>
      <c r="H222" s="979"/>
      <c r="I222" s="979"/>
      <c r="J222" s="979"/>
      <c r="K222" s="979"/>
      <c r="L222" s="979"/>
    </row>
    <row r="223" spans="1:12" ht="16.5">
      <c r="A223" s="976"/>
      <c r="B223" s="977"/>
      <c r="C223" s="978"/>
      <c r="D223" s="976"/>
      <c r="E223" s="976"/>
      <c r="F223" s="979"/>
      <c r="G223" s="979"/>
      <c r="H223" s="979"/>
      <c r="I223" s="979"/>
      <c r="J223" s="979"/>
      <c r="K223" s="979"/>
      <c r="L223" s="979"/>
    </row>
    <row r="224" spans="1:12" ht="16.5">
      <c r="A224" s="976"/>
      <c r="B224" s="977"/>
      <c r="C224" s="978"/>
      <c r="D224" s="976"/>
      <c r="E224" s="976"/>
      <c r="F224" s="979"/>
      <c r="G224" s="979"/>
      <c r="H224" s="979"/>
      <c r="I224" s="979"/>
      <c r="J224" s="979"/>
      <c r="K224" s="979"/>
      <c r="L224" s="979"/>
    </row>
    <row r="225" spans="1:12" ht="16.5">
      <c r="A225" s="976"/>
      <c r="B225" s="977"/>
      <c r="C225" s="978"/>
      <c r="D225" s="976"/>
      <c r="E225" s="976"/>
      <c r="F225" s="979"/>
      <c r="G225" s="979"/>
      <c r="H225" s="979"/>
      <c r="I225" s="979"/>
      <c r="J225" s="979"/>
      <c r="K225" s="979"/>
      <c r="L225" s="979"/>
    </row>
    <row r="226" spans="1:12" ht="16.5">
      <c r="A226" s="976"/>
      <c r="B226" s="977"/>
      <c r="C226" s="978"/>
      <c r="D226" s="976"/>
      <c r="E226" s="976"/>
      <c r="F226" s="979"/>
      <c r="G226" s="979"/>
      <c r="H226" s="979"/>
      <c r="I226" s="979"/>
      <c r="J226" s="979"/>
      <c r="K226" s="979"/>
      <c r="L226" s="979"/>
    </row>
    <row r="227" spans="1:12" ht="16.5">
      <c r="A227" s="976"/>
      <c r="B227" s="977"/>
      <c r="C227" s="978"/>
      <c r="D227" s="976"/>
      <c r="E227" s="976"/>
      <c r="F227" s="979"/>
      <c r="G227" s="979"/>
      <c r="H227" s="979"/>
      <c r="I227" s="979"/>
      <c r="J227" s="979"/>
      <c r="K227" s="979"/>
      <c r="L227" s="979"/>
    </row>
    <row r="228" spans="1:12" ht="16.5">
      <c r="A228" s="976"/>
      <c r="B228" s="977"/>
      <c r="C228" s="978"/>
      <c r="D228" s="976"/>
      <c r="E228" s="976"/>
      <c r="F228" s="979"/>
      <c r="G228" s="979"/>
      <c r="H228" s="979"/>
      <c r="I228" s="979"/>
      <c r="J228" s="979"/>
      <c r="K228" s="979"/>
      <c r="L228" s="979"/>
    </row>
    <row r="229" spans="1:12" ht="16.5">
      <c r="A229" s="976"/>
      <c r="B229" s="977"/>
      <c r="C229" s="978"/>
      <c r="D229" s="976"/>
      <c r="E229" s="976"/>
      <c r="F229" s="979"/>
      <c r="G229" s="979"/>
      <c r="H229" s="979"/>
      <c r="I229" s="979"/>
      <c r="J229" s="979"/>
      <c r="K229" s="979"/>
      <c r="L229" s="979"/>
    </row>
    <row r="230" spans="1:12" ht="16.5">
      <c r="A230" s="976"/>
      <c r="B230" s="977"/>
      <c r="C230" s="978"/>
      <c r="D230" s="976"/>
      <c r="E230" s="976"/>
      <c r="F230" s="979"/>
      <c r="G230" s="979"/>
      <c r="H230" s="979"/>
      <c r="I230" s="979"/>
      <c r="J230" s="979"/>
      <c r="K230" s="979"/>
      <c r="L230" s="979"/>
    </row>
    <row r="231" spans="1:12" ht="16.5">
      <c r="A231" s="976"/>
      <c r="B231" s="977"/>
      <c r="C231" s="978"/>
      <c r="D231" s="976"/>
      <c r="E231" s="976"/>
      <c r="F231" s="979"/>
      <c r="G231" s="979"/>
      <c r="H231" s="979"/>
      <c r="I231" s="979"/>
      <c r="J231" s="979"/>
      <c r="K231" s="979"/>
      <c r="L231" s="979"/>
    </row>
    <row r="232" spans="1:12" ht="16.5">
      <c r="A232" s="976"/>
      <c r="B232" s="977"/>
      <c r="C232" s="978"/>
      <c r="D232" s="976"/>
      <c r="E232" s="976"/>
      <c r="F232" s="979"/>
      <c r="G232" s="979"/>
      <c r="H232" s="979"/>
      <c r="I232" s="979"/>
      <c r="J232" s="979"/>
      <c r="K232" s="979"/>
      <c r="L232" s="979"/>
    </row>
    <row r="233" spans="1:12" ht="16.5">
      <c r="A233" s="976"/>
      <c r="B233" s="977"/>
      <c r="C233" s="978"/>
      <c r="D233" s="976"/>
      <c r="E233" s="976"/>
      <c r="F233" s="979"/>
      <c r="G233" s="979"/>
      <c r="H233" s="979"/>
      <c r="I233" s="979"/>
      <c r="J233" s="979"/>
      <c r="K233" s="979"/>
      <c r="L233" s="979"/>
    </row>
    <row r="234" spans="1:12" ht="16.5">
      <c r="A234" s="976"/>
      <c r="B234" s="977"/>
      <c r="C234" s="978"/>
      <c r="D234" s="976"/>
      <c r="E234" s="976"/>
      <c r="F234" s="979"/>
      <c r="G234" s="979"/>
      <c r="H234" s="979"/>
      <c r="I234" s="979"/>
      <c r="J234" s="979"/>
      <c r="K234" s="979"/>
      <c r="L234" s="979"/>
    </row>
    <row r="235" spans="1:12" ht="16.5">
      <c r="A235" s="976"/>
      <c r="B235" s="977"/>
      <c r="C235" s="978"/>
      <c r="D235" s="976"/>
      <c r="E235" s="976"/>
      <c r="F235" s="979"/>
      <c r="G235" s="979"/>
      <c r="H235" s="979"/>
      <c r="I235" s="979"/>
      <c r="J235" s="979"/>
      <c r="K235" s="979"/>
      <c r="L235" s="979"/>
    </row>
    <row r="236" spans="1:12" ht="16.5">
      <c r="A236" s="976"/>
      <c r="B236" s="977"/>
      <c r="C236" s="978"/>
      <c r="D236" s="976"/>
      <c r="E236" s="976"/>
      <c r="F236" s="979"/>
      <c r="G236" s="979"/>
      <c r="H236" s="979"/>
      <c r="I236" s="979"/>
      <c r="J236" s="979"/>
      <c r="K236" s="979"/>
      <c r="L236" s="979"/>
    </row>
    <row r="237" spans="1:12" ht="16.5">
      <c r="A237" s="976"/>
      <c r="B237" s="977"/>
      <c r="C237" s="978"/>
      <c r="D237" s="976"/>
      <c r="E237" s="976"/>
      <c r="F237" s="979"/>
      <c r="G237" s="979"/>
      <c r="H237" s="979"/>
      <c r="I237" s="979"/>
      <c r="J237" s="979"/>
      <c r="K237" s="979"/>
      <c r="L237" s="979"/>
    </row>
    <row r="238" spans="1:12" ht="16.5">
      <c r="A238" s="976"/>
      <c r="B238" s="977"/>
      <c r="C238" s="978"/>
      <c r="D238" s="976"/>
      <c r="E238" s="976"/>
      <c r="F238" s="979"/>
      <c r="G238" s="979"/>
      <c r="H238" s="979"/>
      <c r="I238" s="979"/>
      <c r="J238" s="979"/>
      <c r="K238" s="979"/>
      <c r="L238" s="979"/>
    </row>
    <row r="239" spans="1:12" ht="16.5">
      <c r="A239" s="976"/>
      <c r="B239" s="977"/>
      <c r="C239" s="978"/>
      <c r="D239" s="976"/>
      <c r="E239" s="976"/>
      <c r="F239" s="979"/>
      <c r="G239" s="979"/>
      <c r="H239" s="979"/>
      <c r="I239" s="979"/>
      <c r="J239" s="979"/>
      <c r="K239" s="979"/>
      <c r="L239" s="979"/>
    </row>
    <row r="240" spans="1:12" ht="16.5">
      <c r="A240" s="976"/>
      <c r="B240" s="977"/>
      <c r="C240" s="978"/>
      <c r="D240" s="976"/>
      <c r="E240" s="976"/>
      <c r="F240" s="979"/>
      <c r="G240" s="979"/>
      <c r="H240" s="979"/>
      <c r="I240" s="979"/>
      <c r="J240" s="979"/>
      <c r="K240" s="979"/>
      <c r="L240" s="979"/>
    </row>
    <row r="241" spans="1:12" ht="16.5">
      <c r="A241" s="976"/>
      <c r="B241" s="977"/>
      <c r="C241" s="978"/>
      <c r="D241" s="976"/>
      <c r="E241" s="976"/>
      <c r="F241" s="979"/>
      <c r="G241" s="979"/>
      <c r="H241" s="979"/>
      <c r="I241" s="979"/>
      <c r="J241" s="979"/>
      <c r="K241" s="979"/>
      <c r="L241" s="979"/>
    </row>
    <row r="242" spans="1:12" ht="16.5">
      <c r="A242" s="976"/>
      <c r="B242" s="977"/>
      <c r="C242" s="978"/>
      <c r="D242" s="976"/>
      <c r="E242" s="976"/>
      <c r="F242" s="979"/>
      <c r="G242" s="979"/>
      <c r="H242" s="979"/>
      <c r="I242" s="979"/>
      <c r="J242" s="979"/>
      <c r="K242" s="979"/>
      <c r="L242" s="979"/>
    </row>
    <row r="243" spans="1:12" ht="16.5">
      <c r="A243" s="976"/>
      <c r="B243" s="977"/>
      <c r="C243" s="978"/>
      <c r="D243" s="976"/>
      <c r="E243" s="976"/>
      <c r="F243" s="979"/>
      <c r="G243" s="979"/>
      <c r="H243" s="979"/>
      <c r="I243" s="979"/>
      <c r="J243" s="979"/>
      <c r="K243" s="979"/>
      <c r="L243" s="979"/>
    </row>
    <row r="244" spans="1:12" ht="16.5">
      <c r="A244" s="976"/>
      <c r="B244" s="977"/>
      <c r="C244" s="978"/>
      <c r="D244" s="976"/>
      <c r="E244" s="976"/>
      <c r="F244" s="979"/>
      <c r="G244" s="979"/>
      <c r="H244" s="979"/>
      <c r="I244" s="979"/>
      <c r="J244" s="979"/>
      <c r="K244" s="979"/>
      <c r="L244" s="979"/>
    </row>
    <row r="245" spans="1:12" ht="16.5">
      <c r="A245" s="976"/>
      <c r="B245" s="977"/>
      <c r="C245" s="978"/>
      <c r="D245" s="976"/>
      <c r="E245" s="976"/>
      <c r="F245" s="979"/>
      <c r="G245" s="979"/>
      <c r="H245" s="979"/>
      <c r="I245" s="979"/>
      <c r="J245" s="979"/>
      <c r="K245" s="979"/>
      <c r="L245" s="979"/>
    </row>
    <row r="246" spans="1:12" ht="16.5">
      <c r="A246" s="976"/>
      <c r="B246" s="977"/>
      <c r="C246" s="978"/>
      <c r="D246" s="976"/>
      <c r="E246" s="976"/>
      <c r="F246" s="979"/>
      <c r="G246" s="979"/>
      <c r="H246" s="979"/>
      <c r="I246" s="979"/>
      <c r="J246" s="979"/>
      <c r="K246" s="979"/>
      <c r="L246" s="979"/>
    </row>
    <row r="247" spans="1:12" ht="16.5">
      <c r="A247" s="976"/>
      <c r="B247" s="977"/>
      <c r="C247" s="978"/>
      <c r="D247" s="976"/>
      <c r="E247" s="976"/>
      <c r="F247" s="979"/>
      <c r="G247" s="979"/>
      <c r="H247" s="979"/>
      <c r="I247" s="979"/>
      <c r="J247" s="979"/>
      <c r="K247" s="979"/>
      <c r="L247" s="979"/>
    </row>
    <row r="248" spans="1:12" ht="16.5">
      <c r="A248" s="976"/>
      <c r="B248" s="977"/>
      <c r="C248" s="978"/>
      <c r="D248" s="976"/>
      <c r="E248" s="976"/>
      <c r="F248" s="979"/>
      <c r="G248" s="979"/>
      <c r="H248" s="979"/>
      <c r="I248" s="979"/>
      <c r="J248" s="979"/>
      <c r="K248" s="979"/>
      <c r="L248" s="979"/>
    </row>
  </sheetData>
  <sheetProtection/>
  <mergeCells count="4">
    <mergeCell ref="B20:D20"/>
    <mergeCell ref="K1:L1"/>
    <mergeCell ref="B2:L2"/>
    <mergeCell ref="A3:L3"/>
  </mergeCells>
  <printOptions horizontalCentered="1"/>
  <pageMargins left="0.708661417322835" right="0.47244094488189" top="0.52" bottom="0.47" header="0.33" footer="0.29"/>
  <pageSetup fitToHeight="0" fitToWidth="1" horizontalDpi="600" verticalDpi="600" orientation="landscape" paperSize="9" scale="77" r:id="rId1"/>
  <headerFooter alignWithMargins="0">
    <oddFooter>&amp;R&amp;"Times New Roman,Regular"&amp;12&amp;P/&amp;N</oddFooter>
  </headerFooter>
</worksheet>
</file>

<file path=xl/worksheets/sheet9.xml><?xml version="1.0" encoding="utf-8"?>
<worksheet xmlns="http://schemas.openxmlformats.org/spreadsheetml/2006/main" xmlns:r="http://schemas.openxmlformats.org/officeDocument/2006/relationships">
  <sheetPr>
    <tabColor theme="6" tint="-0.24997000396251678"/>
  </sheetPr>
  <dimension ref="A1:M24"/>
  <sheetViews>
    <sheetView zoomScale="85" zoomScaleNormal="85" zoomScaleSheetLayoutView="85" zoomScalePageLayoutView="0" workbookViewId="0" topLeftCell="A1">
      <selection activeCell="I15" activeCellId="1" sqref="I6 I15"/>
    </sheetView>
  </sheetViews>
  <sheetFormatPr defaultColWidth="9.140625" defaultRowHeight="12.75"/>
  <cols>
    <col min="1" max="1" width="6.8515625" style="603" customWidth="1"/>
    <col min="2" max="2" width="39.140625" style="585" customWidth="1"/>
    <col min="3" max="3" width="14.8515625" style="586" customWidth="1"/>
    <col min="4" max="4" width="14.57421875" style="603" customWidth="1"/>
    <col min="5" max="5" width="12.421875" style="603" customWidth="1"/>
    <col min="6" max="6" width="13.8515625" style="584" customWidth="1"/>
    <col min="7" max="7" width="12.421875" style="584" customWidth="1"/>
    <col min="8" max="8" width="14.8515625" style="584" customWidth="1"/>
    <col min="9" max="9" width="14.421875" style="603" customWidth="1"/>
    <col min="10" max="10" width="16.00390625" style="584" customWidth="1"/>
    <col min="11" max="11" width="19.8515625" style="584" customWidth="1"/>
    <col min="12" max="16384" width="9.140625" style="584" customWidth="1"/>
  </cols>
  <sheetData>
    <row r="1" spans="1:11" ht="24.75" customHeight="1">
      <c r="A1" s="584"/>
      <c r="B1" s="779" t="s">
        <v>634</v>
      </c>
      <c r="D1" s="586"/>
      <c r="E1" s="584"/>
      <c r="I1" s="905" t="s">
        <v>357</v>
      </c>
      <c r="J1" s="1318" t="s">
        <v>358</v>
      </c>
      <c r="K1" s="1318"/>
    </row>
    <row r="2" spans="1:11" ht="22.5" customHeight="1">
      <c r="A2" s="584"/>
      <c r="B2" s="1307" t="s">
        <v>463</v>
      </c>
      <c r="C2" s="1307"/>
      <c r="D2" s="1307"/>
      <c r="E2" s="1307"/>
      <c r="F2" s="1307"/>
      <c r="G2" s="1307"/>
      <c r="H2" s="1307"/>
      <c r="I2" s="1307"/>
      <c r="J2" s="1307"/>
      <c r="K2" s="1307"/>
    </row>
    <row r="3" spans="1:11" ht="39" customHeight="1">
      <c r="A3" s="1308" t="s">
        <v>635</v>
      </c>
      <c r="B3" s="1308"/>
      <c r="C3" s="1308"/>
      <c r="D3" s="1308"/>
      <c r="E3" s="1308"/>
      <c r="F3" s="1308"/>
      <c r="G3" s="1308"/>
      <c r="H3" s="1308"/>
      <c r="I3" s="1308"/>
      <c r="J3" s="1308"/>
      <c r="K3" s="1308"/>
    </row>
    <row r="4" ht="16.5"/>
    <row r="5" spans="1:11" s="589" customFormat="1" ht="99">
      <c r="A5" s="439" t="s">
        <v>0</v>
      </c>
      <c r="B5" s="439" t="s">
        <v>287</v>
      </c>
      <c r="C5" s="439" t="s">
        <v>184</v>
      </c>
      <c r="D5" s="439" t="s">
        <v>297</v>
      </c>
      <c r="E5" s="439" t="s">
        <v>298</v>
      </c>
      <c r="F5" s="439" t="s">
        <v>299</v>
      </c>
      <c r="G5" s="439" t="s">
        <v>300</v>
      </c>
      <c r="H5" s="439" t="s">
        <v>799</v>
      </c>
      <c r="I5" s="439" t="s">
        <v>301</v>
      </c>
      <c r="J5" s="439" t="s">
        <v>302</v>
      </c>
      <c r="K5" s="439" t="s">
        <v>409</v>
      </c>
    </row>
    <row r="6" spans="1:11" s="624" customFormat="1" ht="45" customHeight="1">
      <c r="A6" s="441" t="s">
        <v>101</v>
      </c>
      <c r="B6" s="450" t="s">
        <v>636</v>
      </c>
      <c r="C6" s="441" t="s">
        <v>637</v>
      </c>
      <c r="D6" s="439">
        <v>71.5</v>
      </c>
      <c r="E6" s="1041">
        <v>10.327</v>
      </c>
      <c r="F6" s="1041">
        <v>13.885</v>
      </c>
      <c r="G6" s="1041">
        <v>18.641</v>
      </c>
      <c r="H6" s="1041">
        <f>H7</f>
        <v>24.1</v>
      </c>
      <c r="I6" s="1041">
        <f>I7</f>
        <v>26.5</v>
      </c>
      <c r="J6" s="1041">
        <f aca="true" t="shared" si="0" ref="J6:J23">SUM(E6:I6)</f>
        <v>93.453</v>
      </c>
      <c r="K6" s="439" t="s">
        <v>36</v>
      </c>
    </row>
    <row r="7" spans="1:13" s="624" customFormat="1" ht="30" customHeight="1">
      <c r="A7" s="441">
        <v>1</v>
      </c>
      <c r="B7" s="450" t="s">
        <v>638</v>
      </c>
      <c r="C7" s="444" t="s">
        <v>639</v>
      </c>
      <c r="D7" s="439">
        <v>71.5</v>
      </c>
      <c r="E7" s="1041">
        <v>10.327</v>
      </c>
      <c r="F7" s="1041">
        <v>13.885</v>
      </c>
      <c r="G7" s="1041">
        <v>18.641</v>
      </c>
      <c r="H7" s="1122">
        <v>24.1</v>
      </c>
      <c r="I7" s="1122">
        <v>26.5</v>
      </c>
      <c r="J7" s="1041">
        <f t="shared" si="0"/>
        <v>93.453</v>
      </c>
      <c r="K7" s="439"/>
      <c r="M7" s="1129">
        <f>I7+I15</f>
        <v>42.5</v>
      </c>
    </row>
    <row r="8" spans="1:11" s="625" customFormat="1" ht="35.25" customHeight="1">
      <c r="A8" s="441"/>
      <c r="B8" s="454" t="s">
        <v>640</v>
      </c>
      <c r="C8" s="444" t="s">
        <v>641</v>
      </c>
      <c r="D8" s="552">
        <v>45.5</v>
      </c>
      <c r="E8" s="1042">
        <v>7.523</v>
      </c>
      <c r="F8" s="1042">
        <v>9.914</v>
      </c>
      <c r="G8" s="1042">
        <v>12.441</v>
      </c>
      <c r="H8" s="1119">
        <v>15.8</v>
      </c>
      <c r="I8" s="1119">
        <v>17.5</v>
      </c>
      <c r="J8" s="1042">
        <f t="shared" si="0"/>
        <v>63.178</v>
      </c>
      <c r="K8" s="439"/>
    </row>
    <row r="9" spans="1:11" s="625" customFormat="1" ht="30" customHeight="1">
      <c r="A9" s="441">
        <v>2</v>
      </c>
      <c r="B9" s="450" t="s">
        <v>642</v>
      </c>
      <c r="C9" s="441"/>
      <c r="D9" s="439"/>
      <c r="E9" s="1041"/>
      <c r="F9" s="1041"/>
      <c r="G9" s="1041"/>
      <c r="H9" s="1041"/>
      <c r="I9" s="1041"/>
      <c r="J9" s="1041"/>
      <c r="K9" s="439"/>
    </row>
    <row r="10" spans="1:11" s="625" customFormat="1" ht="30" customHeight="1">
      <c r="A10" s="444"/>
      <c r="B10" s="454" t="s">
        <v>643</v>
      </c>
      <c r="C10" s="444" t="s">
        <v>644</v>
      </c>
      <c r="D10" s="552">
        <v>165</v>
      </c>
      <c r="E10" s="1042">
        <v>9</v>
      </c>
      <c r="F10" s="1042">
        <v>25</v>
      </c>
      <c r="G10" s="1042">
        <v>90</v>
      </c>
      <c r="H10" s="1126">
        <v>95</v>
      </c>
      <c r="I10" s="1042">
        <v>110</v>
      </c>
      <c r="J10" s="1042">
        <f>SUM(E10:I10)</f>
        <v>329</v>
      </c>
      <c r="K10" s="439"/>
    </row>
    <row r="11" spans="1:11" s="624" customFormat="1" ht="36.75" customHeight="1">
      <c r="A11" s="444"/>
      <c r="B11" s="454" t="s">
        <v>645</v>
      </c>
      <c r="C11" s="444" t="s">
        <v>284</v>
      </c>
      <c r="D11" s="552"/>
      <c r="E11" s="1042">
        <v>4.837</v>
      </c>
      <c r="F11" s="1042">
        <v>7.085</v>
      </c>
      <c r="G11" s="1042">
        <v>13.387</v>
      </c>
      <c r="H11" s="1126">
        <v>14.79</v>
      </c>
      <c r="I11" s="1042">
        <v>18.7</v>
      </c>
      <c r="J11" s="1042">
        <f t="shared" si="0"/>
        <v>58.79900000000001</v>
      </c>
      <c r="K11" s="439"/>
    </row>
    <row r="12" spans="1:11" s="625" customFormat="1" ht="33.75" customHeight="1">
      <c r="A12" s="444"/>
      <c r="B12" s="454" t="s">
        <v>646</v>
      </c>
      <c r="C12" s="444" t="s">
        <v>284</v>
      </c>
      <c r="D12" s="1043"/>
      <c r="E12" s="1128">
        <v>0</v>
      </c>
      <c r="F12" s="1128">
        <v>1.9</v>
      </c>
      <c r="G12" s="1128">
        <v>0.98</v>
      </c>
      <c r="H12" s="1125">
        <v>1.35</v>
      </c>
      <c r="I12" s="1128">
        <v>2</v>
      </c>
      <c r="J12" s="1042">
        <f t="shared" si="0"/>
        <v>6.23</v>
      </c>
      <c r="K12" s="1044"/>
    </row>
    <row r="13" spans="1:11" ht="16.5">
      <c r="A13" s="447"/>
      <c r="B13" s="454" t="s">
        <v>647</v>
      </c>
      <c r="C13" s="444" t="s">
        <v>648</v>
      </c>
      <c r="D13" s="611"/>
      <c r="E13" s="1128">
        <v>3</v>
      </c>
      <c r="F13" s="1128">
        <v>3</v>
      </c>
      <c r="G13" s="1128">
        <v>2.28</v>
      </c>
      <c r="H13" s="1125">
        <v>3.86</v>
      </c>
      <c r="I13" s="1128">
        <v>2.3</v>
      </c>
      <c r="J13" s="1042">
        <f t="shared" si="0"/>
        <v>14.439999999999998</v>
      </c>
      <c r="K13" s="612"/>
    </row>
    <row r="14" spans="1:11" s="624" customFormat="1" ht="30" customHeight="1">
      <c r="A14" s="441">
        <v>3</v>
      </c>
      <c r="B14" s="442" t="s">
        <v>304</v>
      </c>
      <c r="C14" s="439" t="s">
        <v>291</v>
      </c>
      <c r="D14" s="1045">
        <v>117.45</v>
      </c>
      <c r="E14" s="1045">
        <v>121.49411764705881</v>
      </c>
      <c r="F14" s="1045">
        <v>134.4533746489784</v>
      </c>
      <c r="G14" s="1045">
        <v>134.25279078141878</v>
      </c>
      <c r="H14" s="1045">
        <v>124.4568424440749</v>
      </c>
      <c r="I14" s="1045">
        <v>116.37931034482759</v>
      </c>
      <c r="J14" s="1045">
        <v>126.2</v>
      </c>
      <c r="K14" s="612"/>
    </row>
    <row r="15" spans="1:11" ht="16.5">
      <c r="A15" s="441" t="s">
        <v>102</v>
      </c>
      <c r="B15" s="450" t="s">
        <v>649</v>
      </c>
      <c r="C15" s="441"/>
      <c r="D15" s="1046">
        <v>57</v>
      </c>
      <c r="E15" s="605">
        <v>6.1363</v>
      </c>
      <c r="F15" s="605">
        <v>9.97</v>
      </c>
      <c r="G15" s="605">
        <v>9.409</v>
      </c>
      <c r="H15" s="605">
        <f>H16</f>
        <v>13.229</v>
      </c>
      <c r="I15" s="605">
        <f>I16</f>
        <v>16</v>
      </c>
      <c r="J15" s="1041">
        <f>SUM(E15:I15)</f>
        <v>54.7443</v>
      </c>
      <c r="K15" s="605" t="s">
        <v>42</v>
      </c>
    </row>
    <row r="16" spans="1:11" ht="24.75" customHeight="1">
      <c r="A16" s="441">
        <v>1</v>
      </c>
      <c r="B16" s="450" t="s">
        <v>650</v>
      </c>
      <c r="C16" s="444" t="s">
        <v>648</v>
      </c>
      <c r="D16" s="1046">
        <v>57</v>
      </c>
      <c r="E16" s="605">
        <v>6.1363</v>
      </c>
      <c r="F16" s="605">
        <v>9.97</v>
      </c>
      <c r="G16" s="605">
        <v>9.409</v>
      </c>
      <c r="H16" s="1118">
        <v>13.229</v>
      </c>
      <c r="I16" s="1118">
        <v>16</v>
      </c>
      <c r="J16" s="1041">
        <f t="shared" si="0"/>
        <v>54.7443</v>
      </c>
      <c r="K16" s="1047"/>
    </row>
    <row r="17" spans="1:11" ht="21" customHeight="1">
      <c r="A17" s="444"/>
      <c r="B17" s="454" t="s">
        <v>651</v>
      </c>
      <c r="C17" s="444"/>
      <c r="D17" s="1048"/>
      <c r="E17" s="1110">
        <v>3.8913</v>
      </c>
      <c r="F17" s="1110">
        <v>7.4585</v>
      </c>
      <c r="G17" s="1110">
        <v>6.329</v>
      </c>
      <c r="H17" s="1107">
        <v>6.029</v>
      </c>
      <c r="I17" s="1107">
        <v>3</v>
      </c>
      <c r="J17" s="1042">
        <f t="shared" si="0"/>
        <v>26.7078</v>
      </c>
      <c r="K17" s="1047"/>
    </row>
    <row r="18" spans="1:11" ht="25.5" customHeight="1">
      <c r="A18" s="441">
        <v>2</v>
      </c>
      <c r="B18" s="450" t="s">
        <v>652</v>
      </c>
      <c r="C18" s="441"/>
      <c r="D18" s="1048"/>
      <c r="E18" s="1049"/>
      <c r="F18" s="1049"/>
      <c r="G18" s="1049"/>
      <c r="H18" s="1049"/>
      <c r="I18" s="1049"/>
      <c r="J18" s="1041"/>
      <c r="K18" s="1047"/>
    </row>
    <row r="19" spans="1:11" ht="16.5">
      <c r="A19" s="444"/>
      <c r="B19" s="454" t="s">
        <v>653</v>
      </c>
      <c r="C19" s="444" t="s">
        <v>654</v>
      </c>
      <c r="D19" s="1048"/>
      <c r="E19" s="1110">
        <v>0.5</v>
      </c>
      <c r="F19" s="1110">
        <v>3.5</v>
      </c>
      <c r="G19" s="1110">
        <v>2.244</v>
      </c>
      <c r="H19" s="1110">
        <v>5.045</v>
      </c>
      <c r="I19" s="1110">
        <v>0</v>
      </c>
      <c r="J19" s="1042">
        <f t="shared" si="0"/>
        <v>11.289</v>
      </c>
      <c r="K19" s="1047"/>
    </row>
    <row r="20" spans="1:11" ht="16.5">
      <c r="A20" s="444"/>
      <c r="B20" s="454" t="s">
        <v>646</v>
      </c>
      <c r="C20" s="444" t="s">
        <v>654</v>
      </c>
      <c r="D20" s="1048"/>
      <c r="E20" s="1110">
        <v>2.8363</v>
      </c>
      <c r="F20" s="1110">
        <v>4.2</v>
      </c>
      <c r="G20" s="1110">
        <v>4.2</v>
      </c>
      <c r="H20" s="1110">
        <v>3.2</v>
      </c>
      <c r="I20" s="1110">
        <v>4</v>
      </c>
      <c r="J20" s="1042">
        <f t="shared" si="0"/>
        <v>18.4363</v>
      </c>
      <c r="K20" s="1047"/>
    </row>
    <row r="21" spans="1:11" ht="16.5">
      <c r="A21" s="444"/>
      <c r="B21" s="454" t="s">
        <v>655</v>
      </c>
      <c r="C21" s="444" t="s">
        <v>656</v>
      </c>
      <c r="D21" s="605"/>
      <c r="E21" s="1110">
        <v>2.8</v>
      </c>
      <c r="F21" s="1110">
        <v>2.27</v>
      </c>
      <c r="G21" s="1050">
        <v>3</v>
      </c>
      <c r="H21" s="1110">
        <v>1.9</v>
      </c>
      <c r="I21" s="1110">
        <v>5</v>
      </c>
      <c r="J21" s="1042">
        <f t="shared" si="0"/>
        <v>14.97</v>
      </c>
      <c r="K21" s="612"/>
    </row>
    <row r="22" spans="1:11" ht="17.25">
      <c r="A22" s="441">
        <v>3</v>
      </c>
      <c r="B22" s="442" t="s">
        <v>304</v>
      </c>
      <c r="C22" s="439" t="s">
        <v>291</v>
      </c>
      <c r="D22" s="605">
        <v>127.23</v>
      </c>
      <c r="E22" s="605">
        <v>110.77</v>
      </c>
      <c r="F22" s="605">
        <f>F16/E16*100</f>
        <v>162.4757590078712</v>
      </c>
      <c r="G22" s="605">
        <f>G16/F16*100</f>
        <v>94.37311935807422</v>
      </c>
      <c r="H22" s="605">
        <f>H16/G16*100</f>
        <v>140.5994260814114</v>
      </c>
      <c r="I22" s="605">
        <f>I16/H16*100</f>
        <v>120.94640562400787</v>
      </c>
      <c r="J22" s="1123">
        <f>SUM(E22:I22)/5</f>
        <v>125.83294201427293</v>
      </c>
      <c r="K22" s="1051"/>
    </row>
    <row r="23" spans="1:11" ht="16.5">
      <c r="A23" s="441">
        <v>4</v>
      </c>
      <c r="B23" s="442" t="s">
        <v>657</v>
      </c>
      <c r="C23" s="552" t="s">
        <v>658</v>
      </c>
      <c r="D23" s="611"/>
      <c r="E23" s="1124">
        <v>4.1907</v>
      </c>
      <c r="F23" s="1124">
        <v>3.914999999999999</v>
      </c>
      <c r="G23" s="1124">
        <v>9.231999999999998</v>
      </c>
      <c r="H23" s="1124">
        <v>10.871000000000002</v>
      </c>
      <c r="I23" s="1124">
        <v>10.5</v>
      </c>
      <c r="J23" s="1041">
        <f t="shared" si="0"/>
        <v>38.7087</v>
      </c>
      <c r="K23" s="612"/>
    </row>
    <row r="24" spans="1:11" ht="16.5">
      <c r="A24" s="444"/>
      <c r="B24" s="445" t="s">
        <v>659</v>
      </c>
      <c r="C24" s="552" t="s">
        <v>291</v>
      </c>
      <c r="D24" s="993"/>
      <c r="E24" s="1121">
        <v>40.580032923404666</v>
      </c>
      <c r="F24" s="1121">
        <v>28.19589485055815</v>
      </c>
      <c r="G24" s="1121">
        <v>49.52524006222841</v>
      </c>
      <c r="H24" s="1121">
        <v>45.10788381742739</v>
      </c>
      <c r="I24" s="1121">
        <v>39.62264150943396</v>
      </c>
      <c r="J24" s="1121">
        <v>41.42050014445764</v>
      </c>
      <c r="K24" s="1127"/>
    </row>
  </sheetData>
  <sheetProtection/>
  <mergeCells count="3">
    <mergeCell ref="J1:K1"/>
    <mergeCell ref="B2:K2"/>
    <mergeCell ref="A3:K3"/>
  </mergeCells>
  <printOptions horizontalCentered="1"/>
  <pageMargins left="0.708661417322835" right="0.47244094488189" top="0.748031496062992" bottom="0.78740157480315" header="0.511811023622047" footer="0.393700787401575"/>
  <pageSetup fitToHeight="0" horizontalDpi="600" verticalDpi="600" orientation="landscape" paperSize="9" scale="75" r:id="rId3"/>
  <headerFooter alignWithMargins="0">
    <oddFooter>&amp;R&amp;P/&amp;N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MPI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Phu Ha</dc:creator>
  <cp:keywords/>
  <dc:description/>
  <cp:lastModifiedBy>Lap-VPUBDB</cp:lastModifiedBy>
  <cp:lastPrinted>2015-12-04T16:52:34Z</cp:lastPrinted>
  <dcterms:created xsi:type="dcterms:W3CDTF">2008-09-24T14:33:07Z</dcterms:created>
  <dcterms:modified xsi:type="dcterms:W3CDTF">2015-12-04T17:16:45Z</dcterms:modified>
  <cp:category/>
  <cp:version/>
  <cp:contentType/>
  <cp:contentStatus/>
</cp:coreProperties>
</file>